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tables/table7.xml" ContentType="application/vnd.openxmlformats-officedocument.spreadsheetml.table+xml"/>
  <Override PartName="/xl/queryTables/queryTable6.xml" ContentType="application/vnd.openxmlformats-officedocument.spreadsheetml.queryTable+xml"/>
  <Override PartName="/xl/tables/table8.xml" ContentType="application/vnd.openxmlformats-officedocument.spreadsheetml.table+xml"/>
  <Override PartName="/xl/queryTables/queryTable7.xml" ContentType="application/vnd.openxmlformats-officedocument.spreadsheetml.queryTable+xml"/>
  <Override PartName="/xl/tables/table9.xml" ContentType="application/vnd.openxmlformats-officedocument.spreadsheetml.table+xml"/>
  <Override PartName="/xl/queryTables/queryTable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https://schutternet.sharepoint.com/sites/itontwikkeling/Shared Documents/General/Inschrijvingen/2026/csv bestanden/"/>
    </mc:Choice>
  </mc:AlternateContent>
  <xr:revisionPtr revIDLastSave="1579" documentId="8_{9CBCC5AD-0465-7C44-BD7C-47998A16B5AD}" xr6:coauthVersionLast="47" xr6:coauthVersionMax="47" xr10:uidLastSave="{AE1759E5-2C65-E442-BA53-5730BA4CA74C}"/>
  <bookViews>
    <workbookView xWindow="0" yWindow="780" windowWidth="34200" windowHeight="19620" activeTab="7" xr2:uid="{03CD9580-A04D-4759-BAC1-CC6687E7BA10}"/>
  </bookViews>
  <sheets>
    <sheet name="Kringdagen" sheetId="7" r:id="rId1"/>
    <sheet name="KDM" sheetId="3" r:id="rId2"/>
    <sheet name="KDRvNB" sheetId="6" r:id="rId3"/>
    <sheet name="KDL" sheetId="27" r:id="rId4"/>
    <sheet name="KDA" sheetId="5" r:id="rId5"/>
    <sheet name="LJ" sheetId="11" state="hidden" r:id="rId6"/>
    <sheet name="FSD" sheetId="2" r:id="rId7"/>
    <sheet name="GKVI" sheetId="25" r:id="rId8"/>
    <sheet name="BIEL" sheetId="10" r:id="rId9"/>
  </sheets>
  <definedNames>
    <definedName name="ExternalData_1" localSheetId="6" hidden="1">FSD!$A$6:$BA$42</definedName>
    <definedName name="ExternalData_1" localSheetId="7" hidden="1">GKVI!$A$6:$T$38</definedName>
    <definedName name="ExternalData_1" localSheetId="4" hidden="1">KDA!$A$5:$BA$26</definedName>
    <definedName name="ExternalData_1" localSheetId="3" hidden="1">KDL!$A$5:$BA$19</definedName>
    <definedName name="ExternalData_1" localSheetId="2" hidden="1">KDRvNB!$A$6:$BA$18</definedName>
    <definedName name="ExternalData_1" localSheetId="0" hidden="1">Kringdagen!#REF!</definedName>
    <definedName name="ExternalData_2" localSheetId="8" hidden="1">BIEL!$A$5:$K$26</definedName>
    <definedName name="ExternalData_2" localSheetId="1" hidden="1">KDM!$A$6:$BA$20</definedName>
    <definedName name="ExternalData_3" localSheetId="0" hidden="1">Kringdagen!$A$6:$BA$103</definedName>
    <definedName name="ExterneGegevens_1" localSheetId="4" hidden="1">KDA!#REF!</definedName>
    <definedName name="ExterneGegevens_1" localSheetId="1" hidden="1">KDM!#REF!</definedName>
    <definedName name="ExterneGegevens_1" localSheetId="2" hidden="1">KDRvNB!#REF!</definedName>
    <definedName name="ExterneGegevens_1" localSheetId="0" hidden="1">Kringdagen!#REF!</definedName>
    <definedName name="ExterneGegevens_4" localSheetId="5" hidden="1">LJ!$A$6:$BW$7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0" l="1"/>
  <c r="D27" i="10"/>
  <c r="E27" i="10"/>
  <c r="F27" i="10"/>
  <c r="G27" i="10"/>
  <c r="K27" i="10"/>
  <c r="E39" i="25"/>
  <c r="F39" i="25"/>
  <c r="G39" i="25"/>
  <c r="H39" i="25"/>
  <c r="I39" i="25"/>
  <c r="J39" i="25"/>
  <c r="K39" i="25"/>
  <c r="L39" i="25"/>
  <c r="M39" i="25"/>
  <c r="N39" i="25"/>
  <c r="O39" i="25"/>
  <c r="P39" i="25"/>
  <c r="Q39" i="25"/>
  <c r="C43" i="2"/>
  <c r="D43" i="2"/>
  <c r="E43" i="2"/>
  <c r="F43" i="2"/>
  <c r="G43" i="2"/>
  <c r="H43" i="2"/>
  <c r="I43" i="2"/>
  <c r="J43" i="2"/>
  <c r="K43" i="2"/>
  <c r="L43" i="2"/>
  <c r="M43" i="2"/>
  <c r="N43" i="2"/>
  <c r="O43" i="2"/>
  <c r="P43" i="2"/>
  <c r="Q43" i="2"/>
  <c r="R43" i="2"/>
  <c r="S43" i="2"/>
  <c r="T43" i="2"/>
  <c r="U43" i="2"/>
  <c r="V43" i="2"/>
  <c r="W43" i="2"/>
  <c r="X43" i="2"/>
  <c r="Y43" i="2"/>
  <c r="Z43" i="2"/>
  <c r="AA43" i="2"/>
  <c r="AB43" i="2"/>
  <c r="AC43" i="2"/>
  <c r="AD43" i="2"/>
  <c r="AE43" i="2"/>
  <c r="AF43" i="2"/>
  <c r="AG43" i="2"/>
  <c r="AH43" i="2"/>
  <c r="AI43" i="2"/>
  <c r="AJ43" i="2"/>
  <c r="AK43" i="2"/>
  <c r="AL43" i="2"/>
  <c r="AW43" i="2"/>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W27" i="5"/>
  <c r="C20" i="27"/>
  <c r="D20" i="27"/>
  <c r="E20" i="27"/>
  <c r="F20" i="27"/>
  <c r="G20" i="27"/>
  <c r="H20" i="27"/>
  <c r="I20" i="27"/>
  <c r="J20" i="27"/>
  <c r="K20" i="27"/>
  <c r="L20" i="27"/>
  <c r="M20" i="27"/>
  <c r="N20" i="27"/>
  <c r="O20" i="27"/>
  <c r="P20" i="27"/>
  <c r="Q20" i="27"/>
  <c r="R20" i="27"/>
  <c r="S20" i="27"/>
  <c r="T20" i="27"/>
  <c r="U20" i="27"/>
  <c r="V20" i="27"/>
  <c r="W20" i="27"/>
  <c r="X20" i="27"/>
  <c r="Y20" i="27"/>
  <c r="Z20" i="27"/>
  <c r="AA20" i="27"/>
  <c r="AB20" i="27"/>
  <c r="AC20" i="27"/>
  <c r="AD20" i="27"/>
  <c r="AE20" i="27"/>
  <c r="AF20" i="27"/>
  <c r="AG20" i="27"/>
  <c r="AH20" i="27"/>
  <c r="AI20" i="27"/>
  <c r="AJ20" i="27"/>
  <c r="AK20" i="27"/>
  <c r="AL20" i="27"/>
  <c r="AW20" i="2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W104" i="7"/>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W19" i="6"/>
  <c r="C21" i="3"/>
  <c r="D21" i="3"/>
  <c r="E21" i="3"/>
  <c r="F21" i="3"/>
  <c r="G21" i="3"/>
  <c r="H21" i="3"/>
  <c r="I21" i="3"/>
  <c r="J21" i="3"/>
  <c r="K21" i="3"/>
  <c r="L21" i="3"/>
  <c r="M21" i="3"/>
  <c r="N21" i="3"/>
  <c r="O21" i="3"/>
  <c r="P21" i="3"/>
  <c r="Q21" i="3"/>
  <c r="R21" i="3"/>
  <c r="S21" i="3"/>
  <c r="T21" i="3"/>
  <c r="U21" i="3"/>
  <c r="V21" i="3"/>
  <c r="W21" i="3"/>
  <c r="X21" i="3"/>
  <c r="Y21" i="3"/>
  <c r="Z21" i="3"/>
  <c r="AA21" i="3"/>
  <c r="AB21" i="3"/>
  <c r="AD21" i="3"/>
  <c r="AE21" i="3"/>
  <c r="AF21" i="3"/>
  <c r="AG21" i="3"/>
  <c r="AH21" i="3"/>
  <c r="AI21" i="3"/>
  <c r="AJ21" i="3"/>
  <c r="AM8" i="11" l="1"/>
  <c r="CG8" i="11" l="1"/>
  <c r="AO8" i="11"/>
  <c r="AN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25862AB-1258-427D-8EA5-40A8709440DB}" keepAlive="1" name="Query - Bestand transformeren" description="Verbinding maken met de query Bestand transformeren in de werkmap." type="5" refreshedVersion="0" background="1">
    <dbPr connection="Provider=Microsoft.Mashup.OleDb.1;Data Source=$Workbook$;Location=&quot;Bestand transformeren&quot;;Extended Properties=&quot;&quot;" command="SELECT * FROM [Bestand transformeren]"/>
  </connection>
  <connection id="2" xr16:uid="{24C01A1E-D826-4112-9955-886819B151F5}" keepAlive="1" name="Query - Bestand transformeren (2)" description="Verbinding maken met de query Bestand transformeren (2) in de werkmap." type="5" refreshedVersion="0" background="1">
    <dbPr connection="Provider=Microsoft.Mashup.OleDb.1;Data Source=$Workbook$;Location=&quot;Bestand transformeren (2)&quot;;Extended Properties=&quot;&quot;" command="SELECT * FROM [Bestand transformeren (2)]"/>
  </connection>
  <connection id="3" xr16:uid="{CE9F61B0-A57F-8F4C-B87D-1647A57E6F53}" keepAlive="1" name="Query - Bielemantreffen" description="Verbinding maken met de query Bielemantreffen in de werkmap." type="5" refreshedVersion="8" background="1" saveData="1">
    <dbPr connection="Provider=Microsoft.Mashup.OleDb.1;Data Source=$Workbook$;Location=Bielemantreffen;Extended Properties=&quot;&quot;" command="SELECT * FROM [Bielemantreffen]"/>
  </connection>
  <connection id="4" xr16:uid="{69259F06-DFDE-422F-B22F-34F5B8BA4F3C}" keepAlive="1" name="Query - FSD" description="Verbinding maken met de query FSD in de werkmap." type="5" refreshedVersion="8" background="1" saveData="1">
    <dbPr connection="Provider=Microsoft.Mashup.OleDb.1;Data Source=$Workbook$;Location=FSD;Extended Properties=&quot;&quot;" command="SELECT * FROM [FSD]"/>
  </connection>
  <connection id="5" xr16:uid="{8EA0927E-E184-5D42-8D88-4C5DC969043F}" keepAlive="1" name="Query - GKVI" description="Verbinding maken met de query GKVI in de werkmap." type="5" refreshedVersion="8" background="1" saveData="1">
    <dbPr connection="Provider=Microsoft.Mashup.OleDb.1;Data Source=$Workbook$;Location=GKVI;Extended Properties=&quot;&quot;" command="SELECT * FROM [GKVI]"/>
  </connection>
  <connection id="6" xr16:uid="{6F91C644-857E-FF46-ABD6-E65F5BB6C251}" keepAlive="1" name="Query - KDA" description="Verbinding maken met de query KDA in de werkmap." type="5" refreshedVersion="8" background="1" saveData="1">
    <dbPr connection="Provider=Microsoft.Mashup.OleDb.1;Data Source=$Workbook$;Location=KDA;Extended Properties=&quot;&quot;" command="SELECT * FROM [KDA]"/>
  </connection>
  <connection id="7" xr16:uid="{A73B36EC-3D91-6E44-BA97-4DF91C6B6A06}" keepAlive="1" name="Query - KDL(1)" description="Verbinding maken met de query KDL in de werkmap." type="5" refreshedVersion="8" background="1" saveData="1">
    <dbPr connection="Provider=Microsoft.Mashup.OleDb.1;Data Source=$Workbook$;Location=KDL;Extended Properties=&quot;&quot;" command="SELECT * FROM [KDL]"/>
  </connection>
  <connection id="8" xr16:uid="{8FFB42FC-1961-064D-BBD4-F951B34BFBAD}" keepAlive="1" name="Query - KDM" description="Verbinding maken met de query KDM in de werkmap." type="5" refreshedVersion="8" background="1" saveData="1">
    <dbPr connection="Provider=Microsoft.Mashup.OleDb.1;Data Source=$Workbook$;Location=KDM;Extended Properties=&quot;&quot;" command="SELECT * FROM [KDM]"/>
  </connection>
  <connection id="9" xr16:uid="{1E5A8A6C-BF60-4AB0-BB7E-7F5846BE3EBD}" keepAlive="1" name="Query - KDRvNB" description="Verbinding maken met de query KDRvNB in de werkmap." type="5" refreshedVersion="8" background="1" saveData="1">
    <dbPr connection="Provider=Microsoft.Mashup.OleDb.1;Data Source=$Workbook$;Location=KDRvNB;Extended Properties=&quot;&quot;" command="SELECT * FROM [KDRvNB]"/>
  </connection>
  <connection id="10" xr16:uid="{63CAAE99-B64C-9D4B-B5ED-618014ED37AB}" keepAlive="1" name="Query - Kringdagen" description="Verbinding maken met de query Kringdagen in de werkmap." type="5" refreshedVersion="8" background="1" saveData="1">
    <dbPr connection="Provider=Microsoft.Mashup.OleDb.1;Data Source=$Workbook$;Location=Kringdagen;Extended Properties=&quot;&quot;" command="SELECT * FROM [Kringdagen]"/>
  </connection>
  <connection id="11" xr16:uid="{9EB2A673-6133-4718-B17C-8DCFF9F6E361}" keepAlive="1" name="Query - Parameter1" description="Verbinding maken met de query Parameter1 in de werkmap." type="5" refreshedVersion="0" background="1">
    <dbPr connection="Provider=Microsoft.Mashup.OleDb.1;Data Source=$Workbook$;Location=Parameter1;Extended Properties=&quot;&quot;" command="SELECT * FROM [Parameter1]"/>
  </connection>
  <connection id="12" xr16:uid="{57415776-99A3-48CA-9AEB-5FAD9B307722}" keepAlive="1" name="Query - Parameter2" description="Verbinding maken met de query Parameter2 in de werkmap." type="5" refreshedVersion="0" background="1">
    <dbPr connection="Provider=Microsoft.Mashup.OleDb.1;Data Source=$Workbook$;Location=Parameter2;Extended Properties=&quot;&quot;" command="SELECT * FROM [Parameter2]"/>
  </connection>
  <connection id="13" xr16:uid="{14C00971-510E-4456-892D-616488EC8613}" keepAlive="1" name="Query - Voorbeeldbestand" description="Verbinding maken met de query Voorbeeldbestand in de werkmap." type="5" refreshedVersion="0" background="1">
    <dbPr connection="Provider=Microsoft.Mashup.OleDb.1;Data Source=$Workbook$;Location=Voorbeeldbestand;Extended Properties=&quot;&quot;" command="SELECT * FROM [Voorbeeldbestand]"/>
  </connection>
  <connection id="14" xr16:uid="{8850FBBF-3AFD-4368-8D31-E26F6D73CB6B}" keepAlive="1" name="Query - Voorbeeldbestand (2)" description="Verbinding maken met de query Voorbeeldbestand (2) in de werkmap." type="5" refreshedVersion="0" background="1">
    <dbPr connection="Provider=Microsoft.Mashup.OleDb.1;Data Source=$Workbook$;Location=&quot;Voorbeeldbestand (2)&quot;;Extended Properties=&quot;&quot;" command="SELECT * FROM [Voorbeeldbestand (2)]"/>
  </connection>
  <connection id="15" xr16:uid="{3E11B3C3-C94A-4FD2-871D-FF7D335D35BB}" keepAlive="1" name="Query - Voorbeeldbestand transformeren" description="Verbinding maken met de query Voorbeeldbestand transformeren in de werkmap." type="5" refreshedVersion="0" background="1">
    <dbPr connection="Provider=Microsoft.Mashup.OleDb.1;Data Source=$Workbook$;Location=&quot;Voorbeeldbestand transformeren&quot;;Extended Properties=&quot;&quot;" command="SELECT * FROM [Voorbeeldbestand transformeren]"/>
  </connection>
  <connection id="16" xr16:uid="{86331CA9-DD4F-4B74-AFC1-DF8CE4168860}" keepAlive="1" name="Query - Voorbeeldbestand transformeren (2)" description="Verbinding maken met de query Voorbeeldbestand transformeren (2) in de werkmap." type="5" refreshedVersion="0" background="1">
    <dbPr connection="Provider=Microsoft.Mashup.OleDb.1;Data Source=$Workbook$;Location=&quot;Voorbeeldbestand transformeren (2)&quot;;Extended Properties=&quot;&quot;" command="SELECT * FROM [Voorbeeldbestand transformeren (2)]"/>
  </connection>
</connections>
</file>

<file path=xl/sharedStrings.xml><?xml version="1.0" encoding="utf-8"?>
<sst xmlns="http://schemas.openxmlformats.org/spreadsheetml/2006/main" count="5252" uniqueCount="460">
  <si>
    <t>,</t>
  </si>
  <si>
    <t>Start</t>
  </si>
  <si>
    <t>Vendelen</t>
  </si>
  <si>
    <t>Muziek</t>
  </si>
  <si>
    <t>Maj.</t>
  </si>
  <si>
    <t>Bielemannen</t>
  </si>
  <si>
    <t>Mark.</t>
  </si>
  <si>
    <t>Schieten</t>
  </si>
  <si>
    <t>Overige gegevens</t>
  </si>
  <si>
    <t>Details muziek</t>
  </si>
  <si>
    <t>Details majorette</t>
  </si>
  <si>
    <t>Klassiek</t>
  </si>
  <si>
    <t>Acrobatish</t>
  </si>
  <si>
    <t>Show</t>
  </si>
  <si>
    <t>Individueel</t>
  </si>
  <si>
    <t>Hoofdkorps</t>
  </si>
  <si>
    <t>2e korps</t>
  </si>
  <si>
    <t>Kringdag</t>
  </si>
  <si>
    <t>Ver.nr</t>
  </si>
  <si>
    <t>Naam vereniging</t>
  </si>
  <si>
    <t>Delegatie</t>
  </si>
  <si>
    <t>Muziekkorps bij mars en defilé</t>
  </si>
  <si>
    <t>Deeln. jeugdkoningschieten</t>
  </si>
  <si>
    <t>Maj. Senioren jureren bij mars</t>
  </si>
  <si>
    <t>Maj. Jeugd jureren bij mars</t>
  </si>
  <si>
    <t>Korps senioren</t>
  </si>
  <si>
    <t>Acrobatisch senioren</t>
  </si>
  <si>
    <t>Acrobatisch junioren</t>
  </si>
  <si>
    <t>Acrobatisch aspiranten</t>
  </si>
  <si>
    <t>Show senioren</t>
  </si>
  <si>
    <t>Show junioren</t>
  </si>
  <si>
    <t>Show aspiranten</t>
  </si>
  <si>
    <t>Senioren indiv.</t>
  </si>
  <si>
    <t>Junioren indiv.</t>
  </si>
  <si>
    <t>Aspiranten indiv.</t>
  </si>
  <si>
    <t>Sen. ind opgegeven namen</t>
  </si>
  <si>
    <t>Jun. ind opgegeven namen</t>
  </si>
  <si>
    <t>Asp. ind opgegeven namen</t>
  </si>
  <si>
    <t>Senioren</t>
  </si>
  <si>
    <t>Junioren</t>
  </si>
  <si>
    <t>Aspiranten</t>
  </si>
  <si>
    <t>Marketentsters</t>
  </si>
  <si>
    <t>Luchtgeweer</t>
  </si>
  <si>
    <t>Luchtpistool</t>
  </si>
  <si>
    <t>Kruisboog</t>
  </si>
  <si>
    <t>Handboog</t>
  </si>
  <si>
    <t>Totaal aantal deelnemers</t>
  </si>
  <si>
    <t>Waarvan aantal jeugd (t/m 15 jaar)</t>
  </si>
  <si>
    <t>Kanon etc.</t>
  </si>
  <si>
    <t>Paarden en/of koetsen</t>
  </si>
  <si>
    <t>Toelichting/opmerkingen</t>
  </si>
  <si>
    <t>Inzending-ID</t>
  </si>
  <si>
    <t>Inzenddatum</t>
  </si>
  <si>
    <t>Naam van het hoofdkorps</t>
  </si>
  <si>
    <t>Zal op treden als (hoofdkorps)</t>
  </si>
  <si>
    <t>Vorm van twee muziekwerken (hoofdkorps)</t>
  </si>
  <si>
    <t>Zal uitkomen in de: (hoofdkorps)</t>
  </si>
  <si>
    <t>Muziekwerk1 (hoofdkorps)</t>
  </si>
  <si>
    <t>Muziekwerk2 (hoofdkorps)</t>
  </si>
  <si>
    <t>Korps bestaat uit ... deelnemers (hoofdkorps)</t>
  </si>
  <si>
    <t>Naam van het 2e korps</t>
  </si>
  <si>
    <t>Zal op treden als (2e korps)</t>
  </si>
  <si>
    <t>Vorm van twee muziekwerken (2e korps)</t>
  </si>
  <si>
    <t>Zal uitkomen in de: (2e korps)</t>
  </si>
  <si>
    <t>Muziekwerk1 (2e korps)</t>
  </si>
  <si>
    <t>Muziekwerk2 (2e korps)</t>
  </si>
  <si>
    <t>Korps bestaat uit ... deelnemers (2e korps)</t>
  </si>
  <si>
    <t>Onderdelen</t>
  </si>
  <si>
    <t>Secties</t>
  </si>
  <si>
    <t>Leeftijdscategorie</t>
  </si>
  <si>
    <t>Mechanische muziek</t>
  </si>
  <si>
    <t>Aantal opgegeven majorettes</t>
  </si>
  <si>
    <t>x</t>
  </si>
  <si>
    <t/>
  </si>
  <si>
    <t xml:space="preserve"> x</t>
  </si>
  <si>
    <t>Ja</t>
  </si>
  <si>
    <t>Twee stilstaande werken</t>
  </si>
  <si>
    <t>Superieure B (KNMO: tweede divisie)</t>
  </si>
  <si>
    <t>Korps</t>
  </si>
  <si>
    <t>Totaal</t>
  </si>
  <si>
    <t>Kringdag Montferland</t>
  </si>
  <si>
    <t>Kringdag de Liemers</t>
  </si>
  <si>
    <t>Kringdag de Achterhoek</t>
  </si>
  <si>
    <t>Kringdag Rijk van Nijmegen/de Betuwe</t>
  </si>
  <si>
    <t>Landjuweel</t>
  </si>
  <si>
    <t>12 juni 2022, E.M.M. Giesbeek</t>
  </si>
  <si>
    <t>Federatieve schuttersdag</t>
  </si>
  <si>
    <t>Acrobatisch</t>
  </si>
  <si>
    <t>GKVI</t>
  </si>
  <si>
    <t>Korps klassiek senioren</t>
  </si>
  <si>
    <t>Korps acrob. senioren</t>
  </si>
  <si>
    <t>Korps acrob. junioren</t>
  </si>
  <si>
    <t>Korps acrob. aspiranten</t>
  </si>
  <si>
    <t>Opmerkingen</t>
  </si>
  <si>
    <t>Aantal deelnemers</t>
  </si>
  <si>
    <t>Hiervan is aspirant</t>
  </si>
  <si>
    <t>Aantal ver.</t>
  </si>
  <si>
    <t>BIEL</t>
  </si>
  <si>
    <t>Opmerkingen/toelichting</t>
  </si>
  <si>
    <t>Korps 1 klassiek junioren</t>
  </si>
  <si>
    <t>Korps 2 klassiek junioren</t>
  </si>
  <si>
    <t>Korps 1 klassiek aspiranten</t>
  </si>
  <si>
    <t>Korps 2 klassiek aspiranten</t>
  </si>
  <si>
    <t>Date Updated</t>
  </si>
  <si>
    <t>test vereniging</t>
  </si>
  <si>
    <t>Groepen, teams, ensembles en duo's</t>
  </si>
  <si>
    <t>Jong volwassene</t>
  </si>
  <si>
    <t>Opgegeven senioren</t>
  </si>
  <si>
    <t>Opgegeven jong volwassene</t>
  </si>
  <si>
    <t>Opgegeven junioren</t>
  </si>
  <si>
    <t>Opgegeven aspiranten</t>
  </si>
  <si>
    <t>Luchtgeweer jeugd niet ouder dan 17 jaar.</t>
  </si>
  <si>
    <t>Aantal korpsen</t>
  </si>
  <si>
    <t>Opgegeven jeugdkorpsen LG</t>
  </si>
  <si>
    <t>TEST</t>
  </si>
  <si>
    <t>Werk1</t>
  </si>
  <si>
    <t>werk2</t>
  </si>
  <si>
    <t>Aantal luchtgeweerschutters</t>
  </si>
  <si>
    <t>Aantal luchtpistoolschutters</t>
  </si>
  <si>
    <t>Aantal handboogschutters</t>
  </si>
  <si>
    <t>Aantal kruisboogschutters</t>
  </si>
  <si>
    <t>Junioren korps 1</t>
  </si>
  <si>
    <t>Junioren korps 2</t>
  </si>
  <si>
    <t>Aspiranten korps 1</t>
  </si>
  <si>
    <t>Aspiranten korps 2</t>
  </si>
  <si>
    <t>1099</t>
  </si>
  <si>
    <t>aantal</t>
  </si>
  <si>
    <t xml:space="preserve">aantal </t>
  </si>
  <si>
    <t>Groep1</t>
  </si>
  <si>
    <t>Sectie A</t>
  </si>
  <si>
    <t>Senior</t>
  </si>
  <si>
    <t>Verenigingsnummer</t>
  </si>
  <si>
    <t>GKVI2026</t>
  </si>
  <si>
    <t>Acrob. senioren indiv.</t>
  </si>
  <si>
    <t>Acrob. junioren indiv.</t>
  </si>
  <si>
    <t>Acrob. aspiranten indiv.</t>
  </si>
  <si>
    <t>Acrobatisch individueel</t>
  </si>
  <si>
    <t>Korps Klassiek</t>
  </si>
  <si>
    <t>Korps Acrobatisch</t>
  </si>
  <si>
    <t>BIEL2026</t>
  </si>
  <si>
    <t>Jong Volwassene</t>
  </si>
  <si>
    <t>Muziekkorps tijdens mars en defilé</t>
  </si>
  <si>
    <t>Deelname jeugdkoningschieten</t>
  </si>
  <si>
    <t>Deelname marketentsters</t>
  </si>
  <si>
    <t>Deelname hoofdkorps</t>
  </si>
  <si>
    <t>Wordt er gebruik gemaakt van mechanische muziek?</t>
  </si>
  <si>
    <t>Opgeven vendeliers ind.</t>
  </si>
  <si>
    <t>Opgeven bielemannen</t>
  </si>
  <si>
    <t>(Aantal jeugdkorpsen</t>
  </si>
  <si>
    <t>Ver.nr.</t>
  </si>
  <si>
    <t>Majorette</t>
  </si>
  <si>
    <t>Mark</t>
  </si>
  <si>
    <t>Details Majorettes</t>
  </si>
  <si>
    <t>KDA2026</t>
  </si>
  <si>
    <t>KDL2026</t>
  </si>
  <si>
    <t>4008</t>
  </si>
  <si>
    <t>Het Gilde St. Oswaldus Stokkum</t>
  </si>
  <si>
    <t>2023</t>
  </si>
  <si>
    <t>,,,,,,,,,,</t>
  </si>
  <si>
    <t>4018</t>
  </si>
  <si>
    <t>St. Walburgis Gilde Netterden</t>
  </si>
  <si>
    <t>2020</t>
  </si>
  <si>
    <t>2012</t>
  </si>
  <si>
    <t>Schutterij Willem Tell Loo</t>
  </si>
  <si>
    <t>2022</t>
  </si>
  <si>
    <t>4001</t>
  </si>
  <si>
    <t>Schutterij Sint Martinus Dichteren</t>
  </si>
  <si>
    <t>Bielemantreffen 2026</t>
  </si>
  <si>
    <t>Zondag 11 oktober 2026, Onderling Genoegen Duiven</t>
  </si>
  <si>
    <t>Gelders Kampioenschap indoorvendelen</t>
  </si>
  <si>
    <t>Zondag 8 maart 2026, Sint Bavo Angeren</t>
  </si>
  <si>
    <t>6 september 2026, Loil Vooruit</t>
  </si>
  <si>
    <t>26 april 2026, St. Sebastianus Gendt</t>
  </si>
  <si>
    <t>14 juni 2026, St. Andreas 't Grieth Zevenaar</t>
  </si>
  <si>
    <t>28 juni 2026, St. Walburgis Gilde, Netterden</t>
  </si>
  <si>
    <t>19 april 2026, St. Jan Kilder</t>
  </si>
  <si>
    <t>4020</t>
  </si>
  <si>
    <t>Schuttersgilde Wals Wieken Milt Gendringen</t>
  </si>
  <si>
    <t>2027</t>
  </si>
  <si>
    <t>Een marcherend en een stilstaand werk</t>
  </si>
  <si>
    <t>Tiger Drums</t>
  </si>
  <si>
    <t>Pearl</t>
  </si>
  <si>
    <t>4019</t>
  </si>
  <si>
    <t>Schutterij St. Martinus Megchelen</t>
  </si>
  <si>
    <t>2024</t>
  </si>
  <si>
    <t>FSD2026</t>
  </si>
  <si>
    <t>2028</t>
  </si>
  <si>
    <t>2025</t>
  </si>
  <si>
    <t>4023</t>
  </si>
  <si>
    <t>Drumband Schanskloppers Lievelde</t>
  </si>
  <si>
    <t>2034</t>
  </si>
  <si>
    <t>2029</t>
  </si>
  <si>
    <t>1006</t>
  </si>
  <si>
    <t>Schutterij B.U.B. Beek-Ubbergen</t>
  </si>
  <si>
    <t>2032</t>
  </si>
  <si>
    <t>Wij lenen de vaandelstokken van Eendracht Wehl (wel onze eigen doeken eraan) daarom kunnen we niet tegelijk vendelen en zou het fijn zijn als er 15 minuten minimaal tussen beide korpsen zit. Zou hier rekening mee gehouden kunnen worden tijdens de indeling? Alvast bedankt!</t>
  </si>
  <si>
    <t>2035</t>
  </si>
  <si>
    <t>2033</t>
  </si>
  <si>
    <t>2030</t>
  </si>
  <si>
    <t>1007</t>
  </si>
  <si>
    <t>Schutterij Eendracht Ooij</t>
  </si>
  <si>
    <t>2037</t>
  </si>
  <si>
    <t>2036</t>
  </si>
  <si>
    <t>1005</t>
  </si>
  <si>
    <t>Schuttersgenootschap Orde Eendracht Vreugde Millingen a/d Rijn</t>
  </si>
  <si>
    <t>2038</t>
  </si>
  <si>
    <t>4017</t>
  </si>
  <si>
    <t>Schutterij De Eendracht Etten</t>
  </si>
  <si>
    <t>KDM2026</t>
  </si>
  <si>
    <t>3002</t>
  </si>
  <si>
    <t>Schutterij Loil Vooruit</t>
  </si>
  <si>
    <t>2041</t>
  </si>
  <si>
    <t>Nee</t>
  </si>
  <si>
    <t>Team1,Ensemble1,Ensemble2,Ensemble3,Team2,,,,,,</t>
  </si>
  <si>
    <t>Sectie A,Sectie A,Sectie A,Sectie A,Sectie A,,,,,,</t>
  </si>
  <si>
    <t>Senior,Senior,Junior,Jeugd2,Jeugd3,,,,,,</t>
  </si>
  <si>
    <t>4010</t>
  </si>
  <si>
    <t>Schutterij Wilhelmina Azewijn</t>
  </si>
  <si>
    <t>2045</t>
  </si>
  <si>
    <t>Superieure A (KNMO: eerste divisie)</t>
  </si>
  <si>
    <t>Marziale van Jan Schipper</t>
  </si>
  <si>
    <t>Drumspecial van Sandie Egberts</t>
  </si>
  <si>
    <t>2042</t>
  </si>
  <si>
    <t>KDRVNB2026</t>
  </si>
  <si>
    <t>1012</t>
  </si>
  <si>
    <t>De Schutterij Gijsbrecht van Aemstel van Doornenburg en Honderd Morgen</t>
  </si>
  <si>
    <t>Indien er wedstrijden zijn voor de koninginnen wil onze koningin meedoen.</t>
  </si>
  <si>
    <t>2050</t>
  </si>
  <si>
    <t>Sectie A,Sectie A,Sectie A,Sectie A,Sectie A,Sectie A,Sectie A,,,,</t>
  </si>
  <si>
    <t>Jeugd1,Senior,Junior,Jeugd2,Jeugd3,Senior,Jeugd3,,,,</t>
  </si>
  <si>
    <t>2046</t>
  </si>
  <si>
    <t>2043</t>
  </si>
  <si>
    <t>3003</t>
  </si>
  <si>
    <t>Schutterij Wilhelmina Didam</t>
  </si>
  <si>
    <t>2054</t>
  </si>
  <si>
    <t>Ensemble1,Duo1,Duo2,Duo3,Team1,,,,,,</t>
  </si>
  <si>
    <t>Jeugd2,Senior,Senior,Senior,Senior,,,,,,</t>
  </si>
  <si>
    <t>2051</t>
  </si>
  <si>
    <t>2007</t>
  </si>
  <si>
    <t>Schuttersgilde Vrede en Vriendschap Herwen</t>
  </si>
  <si>
    <t>2058</t>
  </si>
  <si>
    <t>2055</t>
  </si>
  <si>
    <t>2052</t>
  </si>
  <si>
    <t>Wij komen zonder muziekkorps en zouden graag net als afgelopen jaar achter de Eendracht Wehl lopen tijdens de Mars en defilewedstrijden. Daarna gebruiken we voor het vendelen de stokken (met eigen doek) van de Eendracht Wehl, het zou dan dus heel fijn zijn als er tijd zit tussen beide korpsen met het vendelen om ze rustig te kunnen wisselen van doek en even in te kunnen zwaaien. Onze jeugdkoning is tevens Federatiekoning voor de jeugd. Hij doet ook mee met het vendelen. Zouden wij daarom vrij vroeg tijdens de vendelwedstrijden kunnen vendelen (senioren waarbij de jeugd mee zwaait) zodat hij daarna rustig mee kan schieten met het jeugdkoningschieten. Alvast bedankt.</t>
  </si>
  <si>
    <t>Ensemble1,Team1,Ensemble2,,,,,,,,</t>
  </si>
  <si>
    <t>Sectie A,Sectie A,Sectie A,,,,,,,,</t>
  </si>
  <si>
    <t>Senior,Jeugd3,Jeugd2,,,,,,,,</t>
  </si>
  <si>
    <t>2059</t>
  </si>
  <si>
    <t>1014a</t>
  </si>
  <si>
    <t>Jong St. Sebastianus Gendt</t>
  </si>
  <si>
    <t>2065</t>
  </si>
  <si>
    <t>1014</t>
  </si>
  <si>
    <t>Schuttersgilde St. Sebastianus</t>
  </si>
  <si>
    <t>2060</t>
  </si>
  <si>
    <t>Showoptreden</t>
  </si>
  <si>
    <t>Disney</t>
  </si>
  <si>
    <t>Show en Marchingband  St. Sebastianus</t>
  </si>
  <si>
    <t>Op Expeditie</t>
  </si>
  <si>
    <t>2064</t>
  </si>
  <si>
    <t>2062</t>
  </si>
  <si>
    <t>3005</t>
  </si>
  <si>
    <t>K.R.K. Schutterij  St. Antonius Nieuw-Dijk</t>
  </si>
  <si>
    <t>Jeugd</t>
  </si>
  <si>
    <t>2083</t>
  </si>
  <si>
    <t>Groep1,Team1,Ensemble1,,,,,,,,</t>
  </si>
  <si>
    <t>Sectie D,Sectie A,Sectie A,,,,,,,,</t>
  </si>
  <si>
    <t>Jeugd1,Jeugd1,Jeugd3,,,,,,,,</t>
  </si>
  <si>
    <t>4005</t>
  </si>
  <si>
    <t>Schutterij De Eendracht Wehl</t>
  </si>
  <si>
    <t>Wij zijn uitgenodigd door Sint-Jan om als gastvereniging deel te nemen aan dit concours.</t>
  </si>
  <si>
    <t>2068</t>
  </si>
  <si>
    <t>2069</t>
  </si>
  <si>
    <t>2006</t>
  </si>
  <si>
    <t>Schuttersgilde Claudius Civilis Pannerden</t>
  </si>
  <si>
    <t>2081</t>
  </si>
  <si>
    <t>1011</t>
  </si>
  <si>
    <t>Gilde St. Salvator Mundi Nederasselt</t>
  </si>
  <si>
    <t>aantal deelnemers is niet exact</t>
  </si>
  <si>
    <t>2082</t>
  </si>
  <si>
    <t>1015</t>
  </si>
  <si>
    <t>Gilden van St. Gangulphus en St. Laurentius Huissen</t>
  </si>
  <si>
    <t>2073</t>
  </si>
  <si>
    <t>K.R.K. Schutterij St. Antonius Nieuw-Dijk</t>
  </si>
  <si>
    <t>2085</t>
  </si>
  <si>
    <t>exact aantal deelnemers kan nog wijzigen</t>
  </si>
  <si>
    <t>2084</t>
  </si>
  <si>
    <t>2080</t>
  </si>
  <si>
    <t>2074</t>
  </si>
  <si>
    <t>korps</t>
  </si>
  <si>
    <t>Vaandelafdeling (KNMO: vierde divisie)</t>
  </si>
  <si>
    <t>nog niet bekend</t>
  </si>
  <si>
    <t>2070</t>
  </si>
  <si>
    <t>4022</t>
  </si>
  <si>
    <t>St. Switbertus Lichtenvoorde</t>
  </si>
  <si>
    <t>R.K. Schutter St. Antonius</t>
  </si>
  <si>
    <t>3012</t>
  </si>
  <si>
    <t>St. Antoniusgilde ’s Heerenberg</t>
  </si>
  <si>
    <t>2087</t>
  </si>
  <si>
    <t>4024</t>
  </si>
  <si>
    <t>Schuttersgilde St. Jan Keijenborg</t>
  </si>
  <si>
    <t>2090</t>
  </si>
  <si>
    <t>Tamboerskorps</t>
  </si>
  <si>
    <t>2088</t>
  </si>
  <si>
    <t>3008</t>
  </si>
  <si>
    <t>Schutterij de Eendracht Nieuw-Wehl</t>
  </si>
  <si>
    <t>2093</t>
  </si>
  <si>
    <t>4002</t>
  </si>
  <si>
    <t>Schuttersgilde St. Martinus</t>
  </si>
  <si>
    <t>Bij opgave majorettewedstrijd graag rekening houden met het volgende;
Bij Tara Pfeil (duo 2 en solo) rekening houden met haar verstandelijke beperking, ze doet 'normaal' mee in de g-klasse.</t>
  </si>
  <si>
    <t>2097</t>
  </si>
  <si>
    <t>Viva la Vida</t>
  </si>
  <si>
    <t>Animal</t>
  </si>
  <si>
    <t>Groep1,Ensemble1,Team2,Duo1,Duo2,Team1,,,,,</t>
  </si>
  <si>
    <t>Sectie A,Sectie A,Sectie A,Sectie A,Sectie B,Sectie A,,,,,</t>
  </si>
  <si>
    <t>Senior,Jeugd1,Senior,Jeugd1,Senior,Senior,,,,,</t>
  </si>
  <si>
    <t>4012</t>
  </si>
  <si>
    <t>Schuttersvereniging Willem Tell Silvolde</t>
  </si>
  <si>
    <t>2091</t>
  </si>
  <si>
    <t>2015</t>
  </si>
  <si>
    <t>Schuttersvereniging Eensgezindheid Aerdt</t>
  </si>
  <si>
    <t>2100</t>
  </si>
  <si>
    <t>Bij de aspirant vendeliers leeftijd t/m 11 jaar hebben we 3 (drie) deelnemers. Kan er echter maar 2 opgeven?</t>
  </si>
  <si>
    <t>2101</t>
  </si>
  <si>
    <t>2094</t>
  </si>
  <si>
    <t>4014</t>
  </si>
  <si>
    <t>Schutterij De Eendracht</t>
  </si>
  <si>
    <t>De muziekstukken voor de muziekwedstrijden zijn onder voorbehoud. Mogelijk wijzigen deze de komende periode nog.</t>
  </si>
  <si>
    <t>2105</t>
  </si>
  <si>
    <t>Rumba Fiesta</t>
  </si>
  <si>
    <t>Accent Caperiolen</t>
  </si>
  <si>
    <t>2103</t>
  </si>
  <si>
    <t>2104</t>
  </si>
  <si>
    <t>3013</t>
  </si>
  <si>
    <t>St. Johannes Zeddam</t>
  </si>
  <si>
    <t>2116</t>
  </si>
  <si>
    <t>Duo1,Ensemble1,Team1,Ensemble2,Team2,Duo2,,,,,</t>
  </si>
  <si>
    <t>Sectie A,Sectie A,Sectie A,Sectie A,Sectie A,Sectie A,,,,,</t>
  </si>
  <si>
    <t>Senior,Senior,Senior,Junior,Jeugd3,Jeugd3,,,,,</t>
  </si>
  <si>
    <t>1002</t>
  </si>
  <si>
    <t>R.K. Schutterij St. Hubertus Groesbeek</t>
  </si>
  <si>
    <t>2114</t>
  </si>
  <si>
    <t>1013</t>
  </si>
  <si>
    <t>Schuttersgilde St. Bavo Angeren</t>
  </si>
  <si>
    <t>Volledig korps is opgegeven maar deze dag betreft het Koningschieten dus daarom zullen wij als delegatie komen.</t>
  </si>
  <si>
    <t>2110</t>
  </si>
  <si>
    <t>2002</t>
  </si>
  <si>
    <t>Schutterij Onderling Genoegen Duiven</t>
  </si>
  <si>
    <t>2108</t>
  </si>
  <si>
    <t>2117</t>
  </si>
  <si>
    <t>2112</t>
  </si>
  <si>
    <t>2111</t>
  </si>
  <si>
    <t>Drumfanfare St. Bavo Angeren</t>
  </si>
  <si>
    <t>Ere-afdeling (KNMO: derde divisie)</t>
  </si>
  <si>
    <t>Art and Plessure</t>
  </si>
  <si>
    <t>Prager Mädels</t>
  </si>
  <si>
    <t>4016</t>
  </si>
  <si>
    <t>Onze Lieve Vrouwe Gilde Varsselder-Veldhunten</t>
  </si>
  <si>
    <t>Joris Bok (individueel) betreft aspirant.</t>
  </si>
  <si>
    <t>Dit jaar geen deelname van St. Hubertus Groesbeek-De Horst</t>
  </si>
  <si>
    <t>3010</t>
  </si>
  <si>
    <t>Schutterij St. Jan</t>
  </si>
  <si>
    <t>Organiserende schutterij</t>
  </si>
  <si>
    <t>2121</t>
  </si>
  <si>
    <t>Sectie A,Sectie A,,,,,,,,,</t>
  </si>
  <si>
    <t>3007</t>
  </si>
  <si>
    <t>R.K. Schutterij de Heegh Didam</t>
  </si>
  <si>
    <t>2118</t>
  </si>
  <si>
    <t>2119</t>
  </si>
  <si>
    <t>Groep1,Team1,,,,,,,,,</t>
  </si>
  <si>
    <t>Jeugd2,Jeugd3,,,,,,,,,</t>
  </si>
  <si>
    <t>1008</t>
  </si>
  <si>
    <t>Schutterij EMM Kekerdom</t>
  </si>
  <si>
    <t>2130</t>
  </si>
  <si>
    <t>2129</t>
  </si>
  <si>
    <t>2127</t>
  </si>
  <si>
    <t>Groep1,Ensemble1,Ensemble2,Ensemble3,Duo1,Duo2,Duo3,,,,</t>
  </si>
  <si>
    <t>Sectie A,Sectie A,Sectie A,Sectie B,Sectie A,Sectie A,Sectie A,,,,</t>
  </si>
  <si>
    <t>Junior,Junior,Jeugd3,Jeugd1,Junior,Junior,Junior,,,,</t>
  </si>
  <si>
    <t>4009</t>
  </si>
  <si>
    <t>Schuttersvereniging St. Antonius Lengel</t>
  </si>
  <si>
    <t>2126</t>
  </si>
  <si>
    <t>4013</t>
  </si>
  <si>
    <t>Schuttersgilde St. Joris Ulft</t>
  </si>
  <si>
    <t>2124</t>
  </si>
  <si>
    <t>Sempre Fidelis</t>
  </si>
  <si>
    <t>Gibraltar</t>
  </si>
  <si>
    <t>2128</t>
  </si>
  <si>
    <t>2125</t>
  </si>
  <si>
    <t>3004</t>
  </si>
  <si>
    <t>Schutterij St. Isidorus Oud-Dijk</t>
  </si>
  <si>
    <t>2134</t>
  </si>
  <si>
    <t>Ik mis de mogelijkheid om het korpsschieten aan te melden.  Ook de mogelijkheid om bijv. Handboog af te melden</t>
  </si>
  <si>
    <t>2135</t>
  </si>
  <si>
    <t>3001</t>
  </si>
  <si>
    <t>Schutterij St. Martinus Greffelkamp Didam</t>
  </si>
  <si>
    <t>2138</t>
  </si>
  <si>
    <t>Team1,Team2,Ensemble3,Team4,Groep1,,,,,,</t>
  </si>
  <si>
    <t>Jeugd2,Jeugd3,Junior,Senior,Junior,,,,,,</t>
  </si>
  <si>
    <t>2013</t>
  </si>
  <si>
    <t>Schutterij Eendracht Maakt Macht Giesbeek</t>
  </si>
  <si>
    <t>2139</t>
  </si>
  <si>
    <t>2141</t>
  </si>
  <si>
    <t>2140</t>
  </si>
  <si>
    <t>4015</t>
  </si>
  <si>
    <t>Schuttersgilde St. Hubertus Ulft</t>
  </si>
  <si>
    <t>2143</t>
  </si>
  <si>
    <t>n.t.b.</t>
  </si>
  <si>
    <t>2144</t>
  </si>
  <si>
    <t>3011</t>
  </si>
  <si>
    <t>St. Jans Gilde Beek-Loerbeek</t>
  </si>
  <si>
    <t>Ik mis een onderdeel korpsschieten, maar misschien hoef je je daar ter plekke pas voor op te geven. Ik weet dat er bij ons schutters zijn die graag mee schieten, dus bij deze alvast. 
Hartelijke groet en een Guten Rutsch alvast, uit Beek, Jurgen Thijssen en Anja Putman</t>
  </si>
  <si>
    <t>2146</t>
  </si>
  <si>
    <t>4027</t>
  </si>
  <si>
    <t>Haaksbergsche Schutterij</t>
  </si>
  <si>
    <t>2147</t>
  </si>
  <si>
    <t>2010</t>
  </si>
  <si>
    <t>Gilde St. Remigius Duiven</t>
  </si>
  <si>
    <t>2153</t>
  </si>
  <si>
    <t>2004</t>
  </si>
  <si>
    <t>Schutterij Eendracht Maakt Macht Ooy-Zevenaar</t>
  </si>
  <si>
    <t>Bielemannen graag zo vroeg mogelijk in het programma, voorzover mogelijk natuurlijk :-)</t>
  </si>
  <si>
    <t>2151</t>
  </si>
  <si>
    <t>2152</t>
  </si>
  <si>
    <t>Duo1,Ensemble1,Ensemble2,Ensemble3,Groep1,Duo2,Team2,,,,</t>
  </si>
  <si>
    <t>i.v.m. de logistiek beide korpsen graag zo dicht mogelijk bij elkaar in de planning, alvast bedankt :-)</t>
  </si>
  <si>
    <t>Zowel vendeliers als majorettes willen met een ander korps lopen, aangezien wij geen eigen korps meer hebben.</t>
  </si>
  <si>
    <t>2155</t>
  </si>
  <si>
    <t>Team1,Team2,Duo1,,,,,,,,</t>
  </si>
  <si>
    <t>Jeugd1,Jeugd1,Senior,,,,,,,,</t>
  </si>
  <si>
    <t>2001</t>
  </si>
  <si>
    <t>Schutterij St. Andreas Zevenaar</t>
  </si>
  <si>
    <t>2157</t>
  </si>
  <si>
    <t>2158</t>
  </si>
  <si>
    <t>Zowel de senioren als de junioren hebben de voorkeur voor vendelen in de middag.</t>
  </si>
  <si>
    <t>We zijn met een muziekkorps in onderhandeling of ze met ons mee willen, deze hoeven niet gejureerd te worden</t>
  </si>
  <si>
    <t>1003</t>
  </si>
  <si>
    <t>Schutterij Vriendenkring Leuth</t>
  </si>
  <si>
    <t>Wij zullen worden vertegenwoordigd door ons koningspaar ' Koning Ricardo Menting en zijn partner Patty Hoenselaar'
Zij worden die dag vergezeld door onze jeugdkoningin Isabella Janssen (dochter van koningin)
We gaan ervanuit dat 3 personen te weinig is om mee te doen met defile en marswedstrijden maar dat is geen probleem.
Mocht er nog meer informatie nodig zijn hoor ik het graag.
Alvast  fijne dag gewenst, en succes met organisatie.</t>
  </si>
  <si>
    <t>2164</t>
  </si>
  <si>
    <t>We krijgen die datum niet de hele vereniging mee, daarom een delegatie van bestuur aangevuld met...We zijn bezig met oprichten van een eigen tamboers korps, mochten we dat tegen die tijd op poten hebben dan komen die wellicht mee.</t>
  </si>
  <si>
    <t>2162</t>
  </si>
  <si>
    <t>Wij zullen worden vertegenwoordigd door ons koningspaar ' Koning Ricardo Menting en zijn partner Patty Hoenselaar'
Zij worden die dag vergezeld door onze jeugdkoningin Isabella Janssen (dochter van koningin)
We gaan ervanuit dat 3 personen te weinig is om mee te doen met defile en marswedstrijden maar dat is geen
probleem.
Mocht er nog meer informatie nodig zijn hoor ik het graag.
Alvast fijne dag gewenst, en succes met organisatie.</t>
  </si>
  <si>
    <t>2165</t>
  </si>
  <si>
    <t>3006</t>
  </si>
  <si>
    <t>De Eendracht Didam</t>
  </si>
  <si>
    <t>Aantal is minus de muziek. Deze is onder voorbehoud. Ons "Huisorkest" muziekvereniging De Club, laat zo snel mogelijk weten of zij aanwezig zijn.</t>
  </si>
  <si>
    <t>2168</t>
  </si>
  <si>
    <t>3009</t>
  </si>
  <si>
    <t>Hooglandse Schutterij Sint-Martinus Braamt</t>
  </si>
  <si>
    <t>Wij lopen samen met St.Johannes Zeddam</t>
  </si>
  <si>
    <t>2167</t>
  </si>
  <si>
    <t>2005</t>
  </si>
  <si>
    <t>Gilde St. Jan Babberich</t>
  </si>
  <si>
    <t>2172</t>
  </si>
  <si>
    <t>2008</t>
  </si>
  <si>
    <t>Schuttersgilde Excelsior Lobith</t>
  </si>
  <si>
    <t>2171</t>
  </si>
  <si>
    <t>2174</t>
  </si>
  <si>
    <t>Ons Huisorkest Muziekverenigig De Club zal zsm doorgeven  of ze aanwezig zijn. Het aantal zal daarom  kunnen afwijken, Mochten ze meedoen kan het aantal oplopen tot 80-90 personen.</t>
  </si>
  <si>
    <t>2169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</si>
</sst>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8"/>
      <name val="Calibri"/>
      <family val="2"/>
      <scheme val="minor"/>
    </font>
    <font>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2"/>
      <color theme="1"/>
      <name val="Calibri"/>
      <family val="2"/>
      <scheme val="minor"/>
    </font>
    <font>
      <b/>
      <sz val="18"/>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4"/>
      <color theme="1"/>
      <name val="Calibri"/>
      <family val="2"/>
      <scheme val="minor"/>
    </font>
    <font>
      <b/>
      <sz val="11"/>
      <color rgb="FF000000"/>
      <name val="Calibri"/>
      <family val="2"/>
      <scheme val="minor"/>
    </font>
    <font>
      <sz val="12"/>
      <color rgb="FF006100"/>
      <name val="Calibri"/>
      <family val="2"/>
      <scheme val="minor"/>
    </font>
    <font>
      <b/>
      <sz val="16"/>
      <color theme="1"/>
      <name val="Calibri"/>
      <family val="2"/>
      <scheme val="minor"/>
    </font>
    <font>
      <b/>
      <sz val="16"/>
      <name val="Calibri"/>
      <family val="2"/>
      <scheme val="minor"/>
    </font>
  </fonts>
  <fills count="4">
    <fill>
      <patternFill patternType="none"/>
    </fill>
    <fill>
      <patternFill patternType="gray125"/>
    </fill>
    <fill>
      <patternFill patternType="solid">
        <fgColor theme="9"/>
        <bgColor indexed="64"/>
      </patternFill>
    </fill>
    <fill>
      <patternFill patternType="solid">
        <fgColor rgb="FFC6EFCE"/>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0" fontId="14" fillId="3" borderId="0" applyNumberFormat="0" applyBorder="0" applyAlignment="0" applyProtection="0"/>
  </cellStyleXfs>
  <cellXfs count="127">
    <xf numFmtId="0" fontId="0" fillId="0" borderId="0" xfId="0"/>
    <xf numFmtId="0" fontId="0" fillId="0" borderId="0" xfId="0" applyAlignment="1">
      <alignment horizontal="center"/>
    </xf>
    <xf numFmtId="0" fontId="4" fillId="0" borderId="0" xfId="0" applyFont="1"/>
    <xf numFmtId="0" fontId="4" fillId="0" borderId="0" xfId="0" applyFont="1" applyAlignment="1">
      <alignment horizontal="center" vertical="top" textRotation="90"/>
    </xf>
    <xf numFmtId="0" fontId="4" fillId="0" borderId="0" xfId="0" applyFont="1" applyAlignment="1">
      <alignment horizontal="center"/>
    </xf>
    <xf numFmtId="0" fontId="4" fillId="0" borderId="0" xfId="0" applyFont="1" applyAlignment="1">
      <alignment vertical="top"/>
    </xf>
    <xf numFmtId="0" fontId="0" fillId="0" borderId="14" xfId="0" applyBorder="1"/>
    <xf numFmtId="0" fontId="0" fillId="0" borderId="14" xfId="0" applyBorder="1" applyAlignment="1">
      <alignment horizontal="center"/>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11" xfId="0" applyFont="1" applyFill="1" applyBorder="1" applyAlignment="1">
      <alignment horizontal="center" vertical="top"/>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0" borderId="14" xfId="0" applyFont="1" applyBorder="1"/>
    <xf numFmtId="0" fontId="5" fillId="0" borderId="14" xfId="0" applyFont="1" applyBorder="1" applyAlignment="1">
      <alignment horizontal="center"/>
    </xf>
    <xf numFmtId="0" fontId="6" fillId="0" borderId="14" xfId="0" applyFont="1" applyBorder="1" applyAlignment="1">
      <alignment horizontal="center"/>
    </xf>
    <xf numFmtId="0" fontId="5" fillId="0" borderId="15" xfId="0" applyFont="1" applyBorder="1" applyAlignment="1">
      <alignment horizontal="center"/>
    </xf>
    <xf numFmtId="0" fontId="5" fillId="0" borderId="0" xfId="0" applyFont="1"/>
    <xf numFmtId="0" fontId="0" fillId="0" borderId="0" xfId="0" applyAlignment="1">
      <alignment horizontal="center" vertical="top"/>
    </xf>
    <xf numFmtId="0" fontId="10" fillId="0" borderId="12" xfId="1" applyFont="1" applyBorder="1"/>
    <xf numFmtId="0" fontId="10" fillId="0" borderId="8" xfId="1" applyFont="1" applyBorder="1"/>
    <xf numFmtId="0" fontId="10" fillId="0" borderId="12" xfId="1" applyFont="1" applyBorder="1" applyAlignment="1">
      <alignment wrapText="1"/>
    </xf>
    <xf numFmtId="0" fontId="10" fillId="0" borderId="0" xfId="1" applyFont="1"/>
    <xf numFmtId="0" fontId="9" fillId="0" borderId="0" xfId="0" applyFont="1" applyAlignment="1">
      <alignment horizontal="center"/>
    </xf>
    <xf numFmtId="0" fontId="11" fillId="2" borderId="1" xfId="0" applyFont="1" applyFill="1" applyBorder="1"/>
    <xf numFmtId="0" fontId="11" fillId="2" borderId="1" xfId="0" applyFont="1" applyFill="1" applyBorder="1" applyAlignment="1">
      <alignment horizontal="center" wrapText="1"/>
    </xf>
    <xf numFmtId="0" fontId="4" fillId="0" borderId="8" xfId="0" applyFont="1" applyBorder="1" applyAlignment="1">
      <alignment vertical="top"/>
    </xf>
    <xf numFmtId="0" fontId="4" fillId="0" borderId="10" xfId="0" applyFont="1" applyBorder="1" applyAlignment="1">
      <alignment vertical="top"/>
    </xf>
    <xf numFmtId="0" fontId="4" fillId="0" borderId="9" xfId="0" applyFont="1" applyBorder="1" applyAlignment="1">
      <alignment horizontal="center" vertical="top" textRotation="90"/>
    </xf>
    <xf numFmtId="0" fontId="4" fillId="0" borderId="10" xfId="0" applyFont="1" applyBorder="1" applyAlignment="1">
      <alignment horizontal="center" vertical="top" textRotation="90"/>
    </xf>
    <xf numFmtId="0" fontId="4" fillId="0" borderId="8" xfId="0" applyFont="1" applyBorder="1" applyAlignment="1">
      <alignment horizontal="center" vertical="top" textRotation="90"/>
    </xf>
    <xf numFmtId="0" fontId="3" fillId="0" borderId="9" xfId="0" applyFont="1" applyBorder="1" applyAlignment="1">
      <alignment horizontal="center" vertical="top" textRotation="90"/>
    </xf>
    <xf numFmtId="0" fontId="3" fillId="0" borderId="10" xfId="0" applyFont="1" applyBorder="1" applyAlignment="1">
      <alignment horizontal="center" vertical="top" textRotation="90"/>
    </xf>
    <xf numFmtId="0" fontId="4" fillId="0" borderId="12" xfId="0" applyFont="1" applyBorder="1" applyAlignment="1">
      <alignment horizontal="center" vertical="top" textRotation="90"/>
    </xf>
    <xf numFmtId="22" fontId="0" fillId="0" borderId="14" xfId="0" applyNumberFormat="1" applyBorder="1"/>
    <xf numFmtId="0" fontId="0" fillId="0" borderId="14" xfId="0" applyBorder="1" applyAlignment="1">
      <alignment wrapText="1"/>
    </xf>
    <xf numFmtId="0" fontId="0" fillId="0" borderId="0" xfId="0" applyAlignment="1">
      <alignment wrapText="1"/>
    </xf>
    <xf numFmtId="0" fontId="5" fillId="2" borderId="7" xfId="0" applyFont="1" applyFill="1" applyBorder="1" applyAlignment="1">
      <alignment horizontal="center" wrapText="1"/>
    </xf>
    <xf numFmtId="0" fontId="0" fillId="0" borderId="0" xfId="0" applyAlignment="1">
      <alignment horizontal="center" wrapText="1"/>
    </xf>
    <xf numFmtId="0" fontId="4" fillId="0" borderId="9" xfId="0" applyFont="1" applyBorder="1" applyAlignment="1">
      <alignment wrapText="1"/>
    </xf>
    <xf numFmtId="0" fontId="5" fillId="0" borderId="16" xfId="0" applyFont="1" applyBorder="1" applyAlignment="1">
      <alignment wrapText="1"/>
    </xf>
    <xf numFmtId="0" fontId="0" fillId="0" borderId="0" xfId="0" applyAlignment="1">
      <alignment horizontal="left"/>
    </xf>
    <xf numFmtId="1" fontId="0" fillId="0" borderId="0" xfId="0" applyNumberFormat="1"/>
    <xf numFmtId="0" fontId="12" fillId="0" borderId="0" xfId="0" applyFont="1" applyAlignment="1">
      <alignment horizontal="center" vertical="center"/>
    </xf>
    <xf numFmtId="0" fontId="12" fillId="0" borderId="0" xfId="0" applyFont="1" applyAlignment="1">
      <alignment horizontal="center"/>
    </xf>
    <xf numFmtId="0" fontId="5" fillId="2" borderId="0" xfId="0" applyFont="1" applyFill="1" applyAlignment="1">
      <alignment horizontal="center" vertical="top"/>
    </xf>
    <xf numFmtId="0" fontId="5" fillId="0" borderId="0" xfId="0" applyFont="1" applyAlignment="1">
      <alignment horizontal="center"/>
    </xf>
    <xf numFmtId="1" fontId="0" fillId="0" borderId="0" xfId="0" applyNumberFormat="1" applyAlignment="1">
      <alignment horizontal="center"/>
    </xf>
    <xf numFmtId="0" fontId="11" fillId="2" borderId="0" xfId="0" applyFont="1" applyFill="1"/>
    <xf numFmtId="0" fontId="0" fillId="0" borderId="0" xfId="0" applyAlignment="1">
      <alignment horizontal="center" vertical="center"/>
    </xf>
    <xf numFmtId="22" fontId="0" fillId="0" borderId="0" xfId="0" applyNumberFormat="1"/>
    <xf numFmtId="0" fontId="10" fillId="0" borderId="1" xfId="1" applyFont="1" applyBorder="1" applyAlignment="1">
      <alignment textRotation="90" wrapText="1"/>
    </xf>
    <xf numFmtId="0" fontId="10" fillId="0" borderId="9" xfId="1" applyFont="1" applyBorder="1" applyAlignment="1">
      <alignment textRotation="90"/>
    </xf>
    <xf numFmtId="0" fontId="10" fillId="0" borderId="1" xfId="1" applyFont="1" applyBorder="1" applyAlignment="1">
      <alignment horizontal="center" textRotation="90" wrapText="1"/>
    </xf>
    <xf numFmtId="0" fontId="4" fillId="0" borderId="1" xfId="0" applyFont="1" applyBorder="1" applyAlignment="1">
      <alignment horizontal="center" textRotation="90" wrapText="1"/>
    </xf>
    <xf numFmtId="0" fontId="5" fillId="2" borderId="11" xfId="0" applyFont="1" applyFill="1" applyBorder="1" applyAlignment="1">
      <alignment horizontal="left"/>
    </xf>
    <xf numFmtId="0" fontId="0" fillId="0" borderId="0" xfId="0" applyAlignment="1">
      <alignment horizontal="right"/>
    </xf>
    <xf numFmtId="0" fontId="0" fillId="0" borderId="0" xfId="0" applyAlignment="1">
      <alignment horizontal="left" wrapText="1"/>
    </xf>
    <xf numFmtId="0" fontId="10" fillId="0" borderId="24" xfId="1" applyFont="1" applyBorder="1" applyAlignment="1">
      <alignment textRotation="90" wrapText="1"/>
    </xf>
    <xf numFmtId="0" fontId="10" fillId="0" borderId="24" xfId="1" applyFont="1" applyBorder="1" applyAlignment="1">
      <alignment textRotation="90"/>
    </xf>
    <xf numFmtId="0" fontId="13" fillId="0" borderId="0" xfId="0" applyFont="1" applyAlignment="1">
      <alignment horizontal="center"/>
    </xf>
    <xf numFmtId="0" fontId="0" fillId="2" borderId="8" xfId="0" applyFill="1" applyBorder="1"/>
    <xf numFmtId="0" fontId="0" fillId="2" borderId="9" xfId="0" applyFill="1" applyBorder="1"/>
    <xf numFmtId="0" fontId="0" fillId="2" borderId="10" xfId="0" applyFill="1" applyBorder="1" applyAlignment="1">
      <alignment horizontal="left"/>
    </xf>
    <xf numFmtId="0" fontId="0" fillId="2" borderId="6" xfId="0" applyFill="1" applyBorder="1"/>
    <xf numFmtId="0" fontId="0" fillId="2" borderId="7" xfId="0" applyFill="1" applyBorder="1"/>
    <xf numFmtId="0" fontId="0" fillId="2" borderId="3" xfId="0" applyFill="1" applyBorder="1" applyAlignment="1">
      <alignment horizontal="center"/>
    </xf>
    <xf numFmtId="0" fontId="1" fillId="2" borderId="0" xfId="2" applyFont="1" applyFill="1" applyAlignment="1">
      <alignment vertical="top"/>
    </xf>
    <xf numFmtId="0" fontId="0" fillId="0" borderId="0" xfId="0" applyAlignment="1">
      <alignment vertical="top"/>
    </xf>
    <xf numFmtId="0" fontId="12" fillId="0" borderId="0" xfId="0" applyFont="1" applyAlignment="1">
      <alignment vertical="center"/>
    </xf>
    <xf numFmtId="0" fontId="12" fillId="0" borderId="0" xfId="0" applyFont="1"/>
    <xf numFmtId="0" fontId="1" fillId="2" borderId="3" xfId="2" applyFont="1" applyFill="1" applyBorder="1" applyAlignment="1">
      <alignment vertical="top" textRotation="90"/>
    </xf>
    <xf numFmtId="0" fontId="1" fillId="2" borderId="5" xfId="2" applyFont="1" applyFill="1" applyBorder="1" applyAlignment="1">
      <alignment vertical="top" textRotation="90"/>
    </xf>
    <xf numFmtId="0" fontId="1" fillId="2" borderId="4" xfId="2" applyFont="1" applyFill="1" applyBorder="1" applyAlignment="1">
      <alignment vertical="top" textRotation="90"/>
    </xf>
    <xf numFmtId="0" fontId="1" fillId="2" borderId="2" xfId="2" applyFont="1" applyFill="1" applyBorder="1" applyAlignment="1">
      <alignment vertical="top" textRotation="90"/>
    </xf>
    <xf numFmtId="0" fontId="9" fillId="2" borderId="3" xfId="2" applyFont="1" applyFill="1" applyBorder="1" applyAlignment="1">
      <alignment vertical="top" textRotation="90"/>
    </xf>
    <xf numFmtId="0" fontId="1" fillId="2" borderId="5" xfId="2" applyFont="1" applyFill="1" applyBorder="1" applyAlignment="1">
      <alignment vertical="top"/>
    </xf>
    <xf numFmtId="0" fontId="10" fillId="0" borderId="10" xfId="1" applyFont="1" applyBorder="1"/>
    <xf numFmtId="22" fontId="0" fillId="0" borderId="0" xfId="0" applyNumberFormat="1" applyAlignment="1">
      <alignment horizontal="center"/>
    </xf>
    <xf numFmtId="0" fontId="4" fillId="0" borderId="0" xfId="0" applyFont="1" applyAlignment="1">
      <alignment wrapText="1"/>
    </xf>
    <xf numFmtId="0" fontId="1" fillId="2" borderId="5" xfId="2" applyFont="1" applyFill="1" applyBorder="1" applyAlignment="1">
      <alignment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10"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11" xfId="0" applyFont="1" applyFill="1" applyBorder="1" applyAlignment="1">
      <alignment horizontal="center" vertical="top"/>
    </xf>
    <xf numFmtId="0" fontId="5" fillId="2" borderId="3" xfId="0" applyFont="1" applyFill="1" applyBorder="1" applyAlignment="1">
      <alignment horizontal="center"/>
    </xf>
    <xf numFmtId="0" fontId="5" fillId="2" borderId="5" xfId="0" applyFont="1" applyFill="1" applyBorder="1" applyAlignment="1">
      <alignment horizontal="center"/>
    </xf>
    <xf numFmtId="0" fontId="5" fillId="2" borderId="4" xfId="0" applyFont="1"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5" fillId="2" borderId="12" xfId="0" applyFont="1" applyFill="1" applyBorder="1" applyAlignment="1">
      <alignment horizontal="center" vertical="top"/>
    </xf>
    <xf numFmtId="0" fontId="5" fillId="2" borderId="13" xfId="0" applyFont="1" applyFill="1" applyBorder="1" applyAlignment="1">
      <alignment horizontal="center" vertical="top"/>
    </xf>
    <xf numFmtId="0" fontId="12" fillId="0" borderId="0" xfId="0" applyFont="1" applyAlignment="1">
      <alignment horizontal="center" vertical="center"/>
    </xf>
    <xf numFmtId="0" fontId="12" fillId="0" borderId="7" xfId="0" applyFont="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15" fillId="0" borderId="20" xfId="1" applyFont="1" applyBorder="1" applyAlignment="1">
      <alignment horizontal="center" vertical="top"/>
    </xf>
    <xf numFmtId="0" fontId="15" fillId="0" borderId="21" xfId="1" applyFont="1" applyBorder="1" applyAlignment="1">
      <alignment horizontal="center" vertical="top"/>
    </xf>
    <xf numFmtId="0" fontId="15" fillId="0" borderId="22" xfId="1" applyFont="1" applyBorder="1" applyAlignment="1">
      <alignment horizontal="center" vertical="top"/>
    </xf>
    <xf numFmtId="0" fontId="15" fillId="0" borderId="3" xfId="1" applyFont="1" applyBorder="1" applyAlignment="1">
      <alignment horizontal="center" vertical="top" wrapText="1"/>
    </xf>
    <xf numFmtId="0" fontId="15" fillId="0" borderId="5" xfId="1" applyFont="1" applyBorder="1" applyAlignment="1">
      <alignment horizontal="center" vertical="top" wrapText="1"/>
    </xf>
    <xf numFmtId="0" fontId="15" fillId="0" borderId="4" xfId="1" applyFont="1" applyBorder="1" applyAlignment="1">
      <alignment horizontal="center" vertical="top" wrapText="1"/>
    </xf>
    <xf numFmtId="0" fontId="16" fillId="0" borderId="17" xfId="1" applyFont="1" applyBorder="1" applyAlignment="1">
      <alignment horizontal="center" vertical="top" wrapText="1"/>
    </xf>
    <xf numFmtId="0" fontId="16" fillId="0" borderId="18" xfId="1" applyFont="1" applyBorder="1" applyAlignment="1">
      <alignment horizontal="center" vertical="top" wrapText="1"/>
    </xf>
    <xf numFmtId="0" fontId="16" fillId="0" borderId="19" xfId="1" applyFont="1" applyBorder="1" applyAlignment="1">
      <alignment horizontal="center" vertical="top" wrapText="1"/>
    </xf>
    <xf numFmtId="0" fontId="4" fillId="0" borderId="0" xfId="0" applyFont="1" applyAlignment="1">
      <alignment horizontal="center"/>
    </xf>
    <xf numFmtId="0" fontId="4" fillId="0" borderId="23" xfId="0" applyFont="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0" fillId="0" borderId="0" xfId="0" applyNumberFormat="1"/>
    <xf numFmtId="0" fontId="0" fillId="0" borderId="0" xfId="0" applyNumberFormat="1" applyAlignment="1">
      <alignment wrapText="1"/>
    </xf>
  </cellXfs>
  <cellStyles count="3">
    <cellStyle name="Goed" xfId="2" builtinId="26"/>
    <cellStyle name="Standaard" xfId="0" builtinId="0"/>
    <cellStyle name="Standaard 2" xfId="1" xr:uid="{F19B0B72-0ABE-41BD-B88E-C05ECC626655}"/>
  </cellStyles>
  <dxfs count="435">
    <dxf>
      <numFmt numFmtId="27" formatCode="dd/mm/yyyy\ hh:mm"/>
    </dxf>
    <dxf>
      <numFmt numFmtId="27" formatCode="dd/mm/yyyy\ h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dd/mm/yyyy\ hh:mm"/>
    </dxf>
    <dxf>
      <numFmt numFmtId="0" formatCode="General"/>
    </dxf>
    <dxf>
      <numFmt numFmtId="0" formatCode="General"/>
    </dxf>
    <dxf>
      <numFmt numFmtId="0" formatCode="General"/>
    </dxf>
    <dxf>
      <numFmt numFmtId="0" formatCode="General"/>
    </dxf>
    <dxf>
      <numFmt numFmtId="27" formatCode="dd/mm/yyyy\ hh:mm"/>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dd/mm/yyyy\ hh:mm"/>
    </dxf>
    <dxf>
      <numFmt numFmtId="27" formatCode="dd/mm/yyyy\ hh:mm"/>
    </dxf>
    <dxf>
      <numFmt numFmtId="0" formatCode="General"/>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dd/mm/yyyy\ hh:mm"/>
    </dxf>
    <dxf>
      <numFmt numFmtId="27" formatCode="dd/mm/yyyy\ h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dd/mm/yyyy\ hh:mm"/>
    </dxf>
    <dxf>
      <numFmt numFmtId="27" formatCode="dd/mm/yyyy\ hh:mm"/>
    </dxf>
    <dxf>
      <numFmt numFmtId="0" formatCode="General"/>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dxf>
    <dxf>
      <alignment horizontal="general" vertical="bottom" textRotation="0" wrapText="1"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2"/>
        <color auto="1"/>
        <name val="Calibri"/>
        <family val="2"/>
        <scheme val="minor"/>
      </font>
      <alignment horizontal="general" vertical="bottom" textRotation="9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27" formatCode="dd/mm/yyyy\ hh:mm"/>
    </dxf>
    <dxf>
      <numFmt numFmtId="27" formatCode="dd/mm/yyyy\ hh:mm"/>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alignment horizontal="general" vertical="bottom" textRotation="0" wrapText="1"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center" vertical="top" textRotation="9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9"/>
        </patternFill>
      </fill>
      <alignment vertical="top"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10" xr16:uid="{D2447BD1-51F2-1B43-8175-D62C785DE012}" autoFormatId="16" applyNumberFormats="0" applyBorderFormats="0" applyFontFormats="0" applyPatternFormats="0" applyAlignmentFormats="0" applyWidthHeightFormats="0">
  <queryTableRefresh nextId="5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47" name="Muziekwerk1 (hoofdkorps)" tableColumnId="47"/>
      <queryTableField id="48" name="Muziekwerk2 (hoofdkorps)" tableColumnId="48"/>
      <queryTableField id="49" name="Korps bestaat uit ... deelnemers (hoofdkorps)" tableColumnId="49"/>
      <queryTableField id="50" name="Wordt er gebruik gemaakt van mechanische muziek?" tableColumnId="50"/>
      <queryTableField id="51" name="Onderdelen" tableColumnId="51"/>
      <queryTableField id="52" name="Secties" tableColumnId="52"/>
      <queryTableField id="53" name="Leeftijdscategorie" tableColumnId="5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8" xr16:uid="{B69A361A-EE75-9F46-89D0-AF4ECF720A1C}" autoFormatId="16" applyNumberFormats="0" applyBorderFormats="0" applyFontFormats="0" applyPatternFormats="0" applyAlignmentFormats="0" applyWidthHeightFormats="0">
  <queryTableRefresh nextId="1106">
    <queryTableFields count="53">
      <queryTableField id="5" name="Kringdag" tableColumnId="5"/>
      <queryTableField id="1004" name="Ver.nr." tableColumnId="30"/>
      <queryTableField id="27" name="Naam vereniging" tableColumnId="27"/>
      <queryTableField id="958" name="Delegatie" tableColumnId="23"/>
      <queryTableField id="31" name="Muziekkorps tijdens mars en defilé" tableColumnId="31"/>
      <queryTableField id="33" name="Deelname jeugdkoningschieten" tableColumnId="33"/>
      <queryTableField id="924" name="Maj. Senioren jureren bij mars" tableColumnId="4"/>
      <queryTableField id="925" name="Maj. Jeugd jureren bij mars" tableColumnId="7"/>
      <queryTableField id="926" name="Korps senioren" tableColumnId="8"/>
      <queryTableField id="927" name="Junioren korps 1" tableColumnId="9"/>
      <queryTableField id="928" name="Junioren korps 2" tableColumnId="10"/>
      <queryTableField id="929" name="Aspiranten korps 1" tableColumnId="11"/>
      <queryTableField id="930" name="Aspiranten korps 2" tableColumnId="12"/>
      <queryTableField id="931" name="Acrobatisch senioren" tableColumnId="13"/>
      <queryTableField id="932" name="Acrobatisch junioren" tableColumnId="14"/>
      <queryTableField id="933" name="Acrobatisch aspiranten" tableColumnId="15"/>
      <queryTableField id="934" name="Opgeven vendeliers ind." tableColumnId="16"/>
      <queryTableField id="607" name="Acrob. senioren indiv." tableColumnId="607"/>
      <queryTableField id="608" name="Acrob. junioren indiv." tableColumnId="608"/>
      <queryTableField id="609" name="Acrob. aspiranten indiv." tableColumnId="609"/>
      <queryTableField id="145" name="Deelname hoofdkorps" tableColumnId="145"/>
      <queryTableField id="936" name="Groepen, teams, ensembles en duo's" tableColumnId="18"/>
      <queryTableField id="959" name="Aantal opgegeven majorettes" tableColumnId="24"/>
      <queryTableField id="935" name="Opgeven bielemannen" tableColumnId="17"/>
      <queryTableField id="670" name="Senioren" tableColumnId="670"/>
      <queryTableField id="671" name="Jong Volwassene" tableColumnId="671"/>
      <queryTableField id="672" name="Junioren" tableColumnId="672"/>
      <queryTableField id="673" name="Aspiranten" tableColumnId="673"/>
      <queryTableField id="41" name="Deelname marketentsters" tableColumnId="41"/>
      <queryTableField id="518" name="Aantal luchtgeweerschutters" tableColumnId="518"/>
      <queryTableField id="519" name="Aantal luchtpistoolschutters" tableColumnId="519"/>
      <queryTableField id="520" name="Aantal handboogschutters" tableColumnId="520"/>
      <queryTableField id="521" name="Aantal kruisboogschutters" tableColumnId="521"/>
      <queryTableField id="960" name="(Aantal jeugdkorpsen" tableColumnId="25"/>
      <queryTableField id="559" name="Totaal aantal deelnemers" tableColumnId="559"/>
      <queryTableField id="560" name="Waarvan aantal jeugd (t/m 15 jaar)" tableColumnId="560"/>
      <queryTableField id="961" name="Kanon etc." tableColumnId="28"/>
      <queryTableField id="962" name="Paarden en/of koetsen" tableColumnId="29"/>
      <queryTableField id="563" name="Toelichting/opmerkingen" tableColumnId="563"/>
      <queryTableField id="1" name="Inzending-ID" tableColumnId="1"/>
      <queryTableField id="2" name="Inzenddatum" tableColumnId="2"/>
      <queryTableField id="3" name="Date Updated" tableColumnId="3"/>
      <queryTableField id="147" name="Naam van het hoofdkorps" tableColumnId="147"/>
      <queryTableField id="148" name="Zal op treden als (hoofdkorps)" tableColumnId="148"/>
      <queryTableField id="149" name="Vorm van twee muziekwerken (hoofdkorps)" tableColumnId="149"/>
      <queryTableField id="150" name="Zal uitkomen in de: (hoofdkorps)" tableColumnId="150"/>
      <queryTableField id="151" name="Muziekwerk1 (hoofdkorps)" tableColumnId="151"/>
      <queryTableField id="152" name="Muziekwerk2 (hoofdkorps)" tableColumnId="152"/>
      <queryTableField id="153" name="Korps bestaat uit ... deelnemers (hoofdkorps)" tableColumnId="153"/>
      <queryTableField id="326" name="Wordt er gebruik gemaakt van mechanische muziek?" tableColumnId="326"/>
      <queryTableField id="937" name="Onderdelen" tableColumnId="19"/>
      <queryTableField id="938" name="Secties" tableColumnId="20"/>
      <queryTableField id="939" name="Leeftijdscategorie" tableColumnId="2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9" xr16:uid="{1774D010-A1C6-4AFF-A232-696AEE801FDB}" autoFormatId="16" applyNumberFormats="0" applyBorderFormats="0" applyFontFormats="0" applyPatternFormats="0" applyAlignmentFormats="0" applyWidthHeightFormats="0">
  <queryTableRefresh nextId="239">
    <queryTableFields count="53">
      <queryTableField id="1" name="Kringdag" tableColumnId="1"/>
      <queryTableField id="114" name="Ver.nr." tableColumnId="2"/>
      <queryTableField id="3" name="Naam vereniging" tableColumnId="3"/>
      <queryTableField id="4" name="Delegatie" tableColumnId="4"/>
      <queryTableField id="115" name="Muziekkorps tijdens mars en defilé" tableColumnId="5"/>
      <queryTableField id="116" name="Deelname jeugdkoningschieten" tableColumnId="6"/>
      <queryTableField id="7" name="Maj. Senioren jureren bij mars" tableColumnId="7"/>
      <queryTableField id="8" name="Maj. Jeugd jureren bij mars" tableColumnId="8"/>
      <queryTableField id="9" name="Korps senioren" tableColumnId="9"/>
      <queryTableField id="106" name="Junioren korps 1" tableColumnId="10"/>
      <queryTableField id="107" name="Junioren korps 2" tableColumnId="11"/>
      <queryTableField id="108" name="Aspiranten korps 1" tableColumnId="26"/>
      <queryTableField id="109" name="Aspiranten korps 2" tableColumnId="30"/>
      <queryTableField id="12" name="Acrobatisch senioren" tableColumnId="12"/>
      <queryTableField id="13" name="Acrobatisch junioren" tableColumnId="13"/>
      <queryTableField id="14" name="Acrobatisch aspiranten" tableColumnId="14"/>
      <queryTableField id="117" name="Opgeven vendeliers ind." tableColumnId="15"/>
      <queryTableField id="118" name="Acrob. senioren indiv." tableColumnId="16"/>
      <queryTableField id="119" name="Acrob. junioren indiv." tableColumnId="17"/>
      <queryTableField id="120" name="Acrob. aspiranten indiv." tableColumnId="18"/>
      <queryTableField id="121" name="Deelname hoofdkorps" tableColumnId="19"/>
      <queryTableField id="74" name="Groepen, teams, ensembles en duo's" tableColumnId="31"/>
      <queryTableField id="70" name="Aantal opgegeven majorettes" tableColumnId="70"/>
      <queryTableField id="122" name="Opgeven bielemannen" tableColumnId="20"/>
      <queryTableField id="27" name="Senioren" tableColumnId="27"/>
      <queryTableField id="75" name="Jong volwassene" tableColumnId="32"/>
      <queryTableField id="28" name="Junioren" tableColumnId="28"/>
      <queryTableField id="29" name="Aspiranten" tableColumnId="29"/>
      <queryTableField id="123" name="Deelname marketentsters" tableColumnId="21"/>
      <queryTableField id="80" name="Aantal luchtgeweerschutters" tableColumnId="42"/>
      <queryTableField id="81" name="Aantal luchtpistoolschutters" tableColumnId="43"/>
      <queryTableField id="82" name="Aantal handboogschutters" tableColumnId="44"/>
      <queryTableField id="83" name="Aantal kruisboogschutters" tableColumnId="71"/>
      <queryTableField id="124" name="(Aantal jeugdkorpsen" tableColumnId="22"/>
      <queryTableField id="45" name="Totaal aantal deelnemers" tableColumnId="45"/>
      <queryTableField id="46" name="Waarvan aantal jeugd (t/m 15 jaar)" tableColumnId="46"/>
      <queryTableField id="47" name="Kanon etc." tableColumnId="47"/>
      <queryTableField id="48" name="Paarden en/of koetsen" tableColumnId="48"/>
      <queryTableField id="49" name="Toelichting/opmerkingen" tableColumnId="49"/>
      <queryTableField id="50" name="Inzending-ID" tableColumnId="50"/>
      <queryTableField id="51" name="Inzenddatum" tableColumnId="51"/>
      <queryTableField id="87" name="Date Updated" tableColumnId="75"/>
      <queryTableField id="52" name="Naam van het hoofdkorps" tableColumnId="52"/>
      <queryTableField id="53" name="Zal op treden als (hoofdkorps)" tableColumnId="53"/>
      <queryTableField id="54" name="Vorm van twee muziekwerken (hoofdkorps)" tableColumnId="54"/>
      <queryTableField id="55" name="Zal uitkomen in de: (hoofdkorps)" tableColumnId="55"/>
      <queryTableField id="56" name="Muziekwerk1 (hoofdkorps)" tableColumnId="56"/>
      <queryTableField id="57" name="Muziekwerk2 (hoofdkorps)" tableColumnId="57"/>
      <queryTableField id="58" name="Korps bestaat uit ... deelnemers (hoofdkorps)" tableColumnId="58"/>
      <queryTableField id="125" name="Wordt er gebruik gemaakt van mechanische muziek?" tableColumnId="23"/>
      <queryTableField id="66" name="Onderdelen" tableColumnId="66"/>
      <queryTableField id="67" name="Secties" tableColumnId="67"/>
      <queryTableField id="68" name="Leeftijdscategorie" tableColumnId="68"/>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7" xr16:uid="{75F95843-E985-9049-A2CB-FD34E4C2EFFF}" autoFormatId="16" applyNumberFormats="0" applyBorderFormats="0" applyFontFormats="0" applyPatternFormats="0" applyAlignmentFormats="0" applyWidthHeightFormats="0">
  <queryTableRefresh nextId="15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47" name="Muziekwerk1 (hoofdkorps)" tableColumnId="47"/>
      <queryTableField id="48" name="Muziekwerk2 (hoofdkorps)" tableColumnId="48"/>
      <queryTableField id="49" name="Korps bestaat uit ... deelnemers (hoofdkorps)" tableColumnId="49"/>
      <queryTableField id="50" name="Wordt er gebruik gemaakt van mechanische muziek?" tableColumnId="50"/>
      <queryTableField id="51" name="Onderdelen" tableColumnId="51"/>
      <queryTableField id="52" name="Secties" tableColumnId="52"/>
      <queryTableField id="53" name="Leeftijdscategorie" tableColumnId="53"/>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6" xr16:uid="{26835A5A-1895-0240-ACB2-E8F93ED4709E}" autoFormatId="16" applyNumberFormats="0" applyBorderFormats="0" applyFontFormats="0" applyPatternFormats="0" applyAlignmentFormats="0" applyWidthHeightFormats="0">
  <queryTableRefresh nextId="7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67" name="Muziekwerk1 (hoofdkorps)" tableColumnId="67"/>
      <queryTableField id="68" name="Muziekwerk2 (hoofdkorps)" tableColumnId="68"/>
      <queryTableField id="69" name="Korps bestaat uit ... deelnemers (hoofdkorps)" tableColumnId="69"/>
      <queryTableField id="70" name="Wordt er gebruik gemaakt van mechanische muziek?" tableColumnId="70"/>
      <queryTableField id="71" name="Onderdelen" tableColumnId="71"/>
      <queryTableField id="72" name="Secties" tableColumnId="72"/>
      <queryTableField id="73" name="Leeftijdscategorie" tableColumnId="73"/>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4" xr16:uid="{0C2B39FD-CD34-4C45-8EFD-FD45938D9BB9}" autoFormatId="16" applyNumberFormats="0" applyBorderFormats="0" applyFontFormats="0" applyPatternFormats="0" applyAlignmentFormats="0" applyWidthHeightFormats="0">
  <queryTableRefresh nextId="239">
    <queryTableFields count="53">
      <queryTableField id="1" name="Kringdag" tableColumnId="1"/>
      <queryTableField id="114" name="Ver.nr." tableColumnId="2"/>
      <queryTableField id="3" name="Naam vereniging" tableColumnId="3"/>
      <queryTableField id="4" name="Delegatie" tableColumnId="4"/>
      <queryTableField id="115" name="Muziekkorps tijdens mars en defilé" tableColumnId="5"/>
      <queryTableField id="116" name="Deelname jeugdkoningschieten" tableColumnId="6"/>
      <queryTableField id="7" name="Maj. Senioren jureren bij mars" tableColumnId="7"/>
      <queryTableField id="8" name="Maj. Jeugd jureren bij mars" tableColumnId="8"/>
      <queryTableField id="9" name="Korps senioren" tableColumnId="9"/>
      <queryTableField id="106" name="Junioren korps 1" tableColumnId="10"/>
      <queryTableField id="107" name="Junioren korps 2" tableColumnId="11"/>
      <queryTableField id="108" name="Aspiranten korps 1" tableColumnId="26"/>
      <queryTableField id="109" name="Aspiranten korps 2" tableColumnId="30"/>
      <queryTableField id="12" name="Acrobatisch senioren" tableColumnId="12"/>
      <queryTableField id="13" name="Acrobatisch junioren" tableColumnId="13"/>
      <queryTableField id="14" name="Acrobatisch aspiranten" tableColumnId="14"/>
      <queryTableField id="117" name="Opgeven vendeliers ind." tableColumnId="15"/>
      <queryTableField id="118" name="Acrob. senioren indiv." tableColumnId="16"/>
      <queryTableField id="119" name="Acrob. junioren indiv." tableColumnId="17"/>
      <queryTableField id="120" name="Acrob. aspiranten indiv." tableColumnId="18"/>
      <queryTableField id="121" name="Deelname hoofdkorps" tableColumnId="19"/>
      <queryTableField id="74" name="Groepen, teams, ensembles en duo's" tableColumnId="31"/>
      <queryTableField id="70" name="Aantal opgegeven majorettes" tableColumnId="70"/>
      <queryTableField id="122" name="Opgeven bielemannen" tableColumnId="20"/>
      <queryTableField id="27" name="Senioren" tableColumnId="27"/>
      <queryTableField id="75" name="Jong volwassene" tableColumnId="32"/>
      <queryTableField id="28" name="Junioren" tableColumnId="28"/>
      <queryTableField id="29" name="Aspiranten" tableColumnId="29"/>
      <queryTableField id="123" name="Deelname marketentsters" tableColumnId="21"/>
      <queryTableField id="80" name="Aantal luchtgeweerschutters" tableColumnId="42"/>
      <queryTableField id="81" name="Aantal luchtpistoolschutters" tableColumnId="43"/>
      <queryTableField id="82" name="Aantal handboogschutters" tableColumnId="44"/>
      <queryTableField id="83" name="Aantal kruisboogschutters" tableColumnId="71"/>
      <queryTableField id="124" name="(Aantal jeugdkorpsen" tableColumnId="22"/>
      <queryTableField id="45" name="Totaal aantal deelnemers" tableColumnId="45"/>
      <queryTableField id="46" name="Waarvan aantal jeugd (t/m 15 jaar)" tableColumnId="46"/>
      <queryTableField id="47" name="Kanon etc." tableColumnId="47"/>
      <queryTableField id="48" name="Paarden en/of koetsen" tableColumnId="48"/>
      <queryTableField id="49" name="Toelichting/opmerkingen" tableColumnId="49"/>
      <queryTableField id="50" name="Inzending-ID" tableColumnId="50"/>
      <queryTableField id="51" name="Inzenddatum" tableColumnId="51"/>
      <queryTableField id="87" name="Date Updated" tableColumnId="75"/>
      <queryTableField id="52" name="Naam van het hoofdkorps" tableColumnId="52"/>
      <queryTableField id="53" name="Zal op treden als (hoofdkorps)" tableColumnId="53"/>
      <queryTableField id="54" name="Vorm van twee muziekwerken (hoofdkorps)" tableColumnId="54"/>
      <queryTableField id="55" name="Zal uitkomen in de: (hoofdkorps)" tableColumnId="55"/>
      <queryTableField id="56" name="Muziekwerk1 (hoofdkorps)" tableColumnId="56"/>
      <queryTableField id="57" name="Muziekwerk2 (hoofdkorps)" tableColumnId="57"/>
      <queryTableField id="58" name="Korps bestaat uit ... deelnemers (hoofdkorps)" tableColumnId="58"/>
      <queryTableField id="125" name="Wordt er gebruik gemaakt van mechanische muziek?" tableColumnId="23"/>
      <queryTableField id="66" name="Onderdelen" tableColumnId="66"/>
      <queryTableField id="67" name="Secties" tableColumnId="67"/>
      <queryTableField id="68" name="Leeftijdscategorie" tableColumnId="68"/>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5" xr16:uid="{2E8E00EF-77DF-4B46-9EE6-830254D7A034}" autoFormatId="16" applyNumberFormats="0" applyBorderFormats="0" applyFontFormats="0" applyPatternFormats="0" applyAlignmentFormats="0" applyWidthHeightFormats="0">
  <queryTableRefresh nextId="160">
    <queryTableFields count="20">
      <queryTableField id="1" name="Inzending-ID" tableColumnId="1"/>
      <queryTableField id="102" name="Inzenddatum" tableColumnId="102"/>
      <queryTableField id="2" name="GKVI" tableColumnId="2"/>
      <queryTableField id="4" name="Verenigingsnummer" tableColumnId="4"/>
      <queryTableField id="5" name="Naam vereniging" tableColumnId="5"/>
      <queryTableField id="89" name="Korps klassiek senioren" tableColumnId="89"/>
      <queryTableField id="90" name="Korps 1 klassiek junioren" tableColumnId="90"/>
      <queryTableField id="91" name="Korps 2 klassiek junioren" tableColumnId="91"/>
      <queryTableField id="92" name="Korps 1 klassiek aspiranten" tableColumnId="92"/>
      <queryTableField id="93" name="Korps 2 klassiek aspiranten" tableColumnId="93"/>
      <queryTableField id="94" name="Korps acrob. senioren" tableColumnId="94"/>
      <queryTableField id="95" name="Korps acrob. junioren" tableColumnId="95"/>
      <queryTableField id="96" name="Korps acrob. aspiranten" tableColumnId="96"/>
      <queryTableField id="97" name="Acrob. senioren indiv." tableColumnId="97"/>
      <queryTableField id="98" name="Acrob. junioren indiv." tableColumnId="98"/>
      <queryTableField id="99" name="Acrob. aspiranten indiv." tableColumnId="99"/>
      <queryTableField id="100" name="Aantal deelnemers" tableColumnId="100"/>
      <queryTableField id="101" name="Hiervan is aspirant" tableColumnId="101"/>
      <queryTableField id="103" name="Opmerkingen" tableColumnId="103"/>
      <queryTableField id="104" name="Date Updated" tableColumnId="104"/>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2" connectionId="3" xr16:uid="{77D2631A-4410-2543-8771-EA0D3739FB55}" autoFormatId="16" applyNumberFormats="0" applyBorderFormats="0" applyFontFormats="0" applyPatternFormats="0" applyAlignmentFormats="0" applyWidthHeightFormats="0">
  <queryTableRefresh nextId="541">
    <queryTableFields count="11">
      <queryTableField id="303" name="BIEL" tableColumnId="303"/>
      <queryTableField id="539" name="Verenigingsnummer" tableColumnId="60"/>
      <queryTableField id="305" name="Naam vereniging" tableColumnId="305"/>
      <queryTableField id="524" name="Senioren" tableColumnId="56"/>
      <queryTableField id="527" name="Jong Volwassene" tableColumnId="59"/>
      <queryTableField id="525" name="Junioren" tableColumnId="57"/>
      <queryTableField id="526" name="Aspiranten" tableColumnId="58"/>
      <queryTableField id="461" name="Opmerkingen/toelichting" tableColumnId="461"/>
      <queryTableField id="301" name="Inzending-ID" tableColumnId="301"/>
      <queryTableField id="302" name="Inzenddatum" tableColumnId="302"/>
      <queryTableField id="463" name="Date Updated" tableColumnId="46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BEF4B27-7F6D-6E4C-BB79-6B256859A82D}" name="Kringdagen_" displayName="Kringdagen_" ref="A6:BA104" tableType="queryTable" totalsRowCount="1" headerRowDxfId="434" headerRowCellStyle="Goed">
  <autoFilter ref="A6:BA103" xr:uid="{2BEF4B27-7F6D-6E4C-BB79-6B256859A82D}"/>
  <tableColumns count="53">
    <tableColumn id="1" xr3:uid="{2B0DE392-412F-4949-B4E4-B87999873595}" uniqueName="1" name="Kringdag" totalsRowLabel="Totaal" queryTableFieldId="1" dataDxfId="251"/>
    <tableColumn id="2" xr3:uid="{0A678D37-FD51-284E-9D1B-5F4C1A01BC5C}" uniqueName="2" name="Ver.nr." queryTableFieldId="2" dataDxfId="250"/>
    <tableColumn id="3" xr3:uid="{BC6E819B-4BD3-0341-8E71-F4122EA170B5}" uniqueName="3" name="Naam vereniging" totalsRowFunction="count" queryTableFieldId="3" dataDxfId="249"/>
    <tableColumn id="4" xr3:uid="{9232C4CE-ACE6-F84B-9825-66F2FA042B40}" uniqueName="4" name="Delegatie" totalsRowFunction="custom" queryTableFieldId="4" dataDxfId="248" totalsRowDxfId="252">
      <totalsRowFormula>COUNTIF(Kringdagen_[Delegatie],"x")</totalsRowFormula>
    </tableColumn>
    <tableColumn id="5" xr3:uid="{B2BFE312-F76A-C043-B1C3-8D8ABBF247DF}" uniqueName="5" name="Muziekkorps tijdens mars en defilé" totalsRowFunction="custom" queryTableFieldId="5" dataDxfId="247" totalsRowDxfId="253">
      <totalsRowFormula>COUNTIF(Kringdagen_[Muziekkorps tijdens mars en defilé],"x")</totalsRowFormula>
    </tableColumn>
    <tableColumn id="6" xr3:uid="{14146C0D-2568-2149-852A-2D40FE55ED7F}" uniqueName="6" name="Deelname jeugdkoningschieten" totalsRowFunction="custom" queryTableFieldId="6" dataDxfId="246" totalsRowDxfId="254">
      <totalsRowFormula>COUNTIF(Kringdagen_[Deelname jeugdkoningschieten],"x")</totalsRowFormula>
    </tableColumn>
    <tableColumn id="7" xr3:uid="{66A6B64F-0A76-D042-98F5-52765633A1EC}" uniqueName="7" name="Maj. Senioren jureren bij mars" totalsRowFunction="custom" queryTableFieldId="7" dataDxfId="245" totalsRowDxfId="255">
      <totalsRowFormula>COUNTIF(Kringdagen_[Maj. Senioren jureren bij mars],"x")</totalsRowFormula>
    </tableColumn>
    <tableColumn id="8" xr3:uid="{841953DC-0DB4-3F4A-B279-A889361AA542}" uniqueName="8" name="Maj. Jeugd jureren bij mars" totalsRowFunction="custom" queryTableFieldId="8" dataDxfId="244" totalsRowDxfId="256">
      <totalsRowFormula>COUNTIF(Kringdagen_[Maj. Jeugd jureren bij mars],"x")</totalsRowFormula>
    </tableColumn>
    <tableColumn id="9" xr3:uid="{EC6C2E16-4C66-E14A-AD03-E2E2828FF568}" uniqueName="9" name="Korps senioren" totalsRowFunction="sum" queryTableFieldId="9" totalsRowDxfId="257"/>
    <tableColumn id="10" xr3:uid="{6EB1DE0F-CC75-F14C-96DF-3F7E8AD3B612}" uniqueName="10" name="Junioren korps 1" totalsRowFunction="sum" queryTableFieldId="10" totalsRowDxfId="258"/>
    <tableColumn id="11" xr3:uid="{B7127E1C-FE2D-0341-AA60-6BFDAB0C23C4}" uniqueName="11" name="Junioren korps 2" totalsRowFunction="sum" queryTableFieldId="11" totalsRowDxfId="259"/>
    <tableColumn id="12" xr3:uid="{16323A44-212E-0E43-BB54-844991151D78}" uniqueName="12" name="Aspiranten korps 1" totalsRowFunction="sum" queryTableFieldId="12" totalsRowDxfId="260"/>
    <tableColumn id="13" xr3:uid="{64CEF4EB-B175-0B41-9EEF-E1D6D1D69884}" uniqueName="13" name="Aspiranten korps 2" totalsRowFunction="sum" queryTableFieldId="13" totalsRowDxfId="261"/>
    <tableColumn id="14" xr3:uid="{D1270DBF-43FF-9643-B1C4-1E8ABE5C7B28}" uniqueName="14" name="Acrobatisch senioren" totalsRowFunction="sum" queryTableFieldId="14" totalsRowDxfId="262"/>
    <tableColumn id="15" xr3:uid="{201419B3-3EDE-1044-BCCE-457EA5E572FA}" uniqueName="15" name="Acrobatisch junioren" totalsRowFunction="sum" queryTableFieldId="15" totalsRowDxfId="263"/>
    <tableColumn id="16" xr3:uid="{3DC2D47E-57FA-4644-B38F-911C5D4A4CB6}" uniqueName="16" name="Acrobatisch aspiranten" totalsRowFunction="sum" queryTableFieldId="16" totalsRowDxfId="264"/>
    <tableColumn id="17" xr3:uid="{1AFF0D7A-6BCF-6940-A664-71EDEB588F92}" uniqueName="17" name="Opgeven vendeliers ind." totalsRowFunction="sum" queryTableFieldId="17"/>
    <tableColumn id="18" xr3:uid="{CFA9B3FA-63A7-984F-AB17-366BE8FD70C3}" uniqueName="18" name="Acrob. senioren indiv." totalsRowFunction="sum" queryTableFieldId="18"/>
    <tableColumn id="19" xr3:uid="{FDC5E9C0-0324-3D46-B07E-AA368CFF09E4}" uniqueName="19" name="Acrob. junioren indiv." totalsRowFunction="sum" queryTableFieldId="19"/>
    <tableColumn id="20" xr3:uid="{F830DB36-3595-9946-A4E6-35BB75A369E1}" uniqueName="20" name="Acrob. aspiranten indiv." totalsRowFunction="sum" queryTableFieldId="20"/>
    <tableColumn id="21" xr3:uid="{C31E5AFB-07B3-D145-90A4-1522A7C48810}" uniqueName="21" name="Deelname hoofdkorps" totalsRowFunction="custom" queryTableFieldId="21" dataDxfId="243" totalsRowDxfId="265">
      <totalsRowFormula>COUNTIF(Kringdagen_[Deelname hoofdkorps],"x")</totalsRowFormula>
    </tableColumn>
    <tableColumn id="22" xr3:uid="{92718748-913F-7B48-903F-0F2700F65E1A}" uniqueName="22" name="Groepen, teams, ensembles en duo's" totalsRowFunction="sum" queryTableFieldId="22" totalsRowDxfId="266"/>
    <tableColumn id="23" xr3:uid="{ADE8080E-A4C0-B34B-BE21-5E51E9CED3E2}" uniqueName="23" name="Aantal opgegeven majorettes" totalsRowFunction="sum" queryTableFieldId="23" totalsRowDxfId="267"/>
    <tableColumn id="24" xr3:uid="{05DE5974-3D3B-0E40-B253-B162F5FB7E01}" uniqueName="24" name="Opgeven bielemannen" totalsRowFunction="sum" queryTableFieldId="24"/>
    <tableColumn id="25" xr3:uid="{B8FDB1AC-F991-7447-83BC-CEE5302ECB24}" uniqueName="25" name="Senioren" totalsRowFunction="sum" queryTableFieldId="25" totalsRowDxfId="268"/>
    <tableColumn id="26" xr3:uid="{00DE2BD5-D903-524F-98B0-28C2CEC451D7}" uniqueName="26" name="Jong Volwassene" totalsRowFunction="sum" queryTableFieldId="26" totalsRowDxfId="269"/>
    <tableColumn id="27" xr3:uid="{05967965-E547-574E-8E7C-C8F1DE24C335}" uniqueName="27" name="Junioren" totalsRowFunction="sum" queryTableFieldId="27" totalsRowDxfId="270"/>
    <tableColumn id="28" xr3:uid="{A5E79377-0044-A845-A39F-292916E8A178}" uniqueName="28" name="Aspiranten" totalsRowFunction="sum" queryTableFieldId="28" totalsRowDxfId="271"/>
    <tableColumn id="29" xr3:uid="{C9A12F1A-AF59-A04C-BB54-A5835F7F3390}" uniqueName="29" name="Deelname marketentsters" totalsRowFunction="custom" queryTableFieldId="29" dataDxfId="242" totalsRowDxfId="272">
      <totalsRowFormula>COUNTIF(Kringdagen_[Deelname marketentsters],"x")</totalsRowFormula>
    </tableColumn>
    <tableColumn id="30" xr3:uid="{43C7BB5B-60FA-D24F-A262-50623C340E4E}" uniqueName="30" name="Aantal luchtgeweerschutters" totalsRowFunction="sum" queryTableFieldId="30"/>
    <tableColumn id="31" xr3:uid="{0D96D5DE-F2A1-1F40-85C1-744E47B26A7C}" uniqueName="31" name="Aantal luchtpistoolschutters" totalsRowFunction="sum" queryTableFieldId="31" totalsRowDxfId="273"/>
    <tableColumn id="32" xr3:uid="{0709EE53-AC4D-A84D-ACA3-C0A4CF3A9C2C}" uniqueName="32" name="Aantal handboogschutters" totalsRowFunction="sum" queryTableFieldId="32"/>
    <tableColumn id="33" xr3:uid="{48DEC26B-A0B9-844A-8F2D-A54E2A92E45B}" uniqueName="33" name="Aantal kruisboogschutters" totalsRowFunction="sum" queryTableFieldId="33" totalsRowDxfId="274"/>
    <tableColumn id="34" xr3:uid="{318C4C29-C5D4-E849-A96E-44700B9DAC1C}" uniqueName="34" name="(Aantal jeugdkorpsen" totalsRowFunction="sum" queryTableFieldId="34"/>
    <tableColumn id="35" xr3:uid="{A892A41C-F07B-5749-8191-4E66D6730E3F}" uniqueName="35" name="Totaal aantal deelnemers" totalsRowFunction="sum" queryTableFieldId="35" totalsRowDxfId="275"/>
    <tableColumn id="36" xr3:uid="{E7D4D8CE-2C9B-D145-B35D-A2BC2B12DFCA}" uniqueName="36" name="Waarvan aantal jeugd (t/m 15 jaar)" totalsRowFunction="sum" queryTableFieldId="36" totalsRowDxfId="276"/>
    <tableColumn id="37" xr3:uid="{B41A6BC4-B0CF-834A-840D-6E6C264760A7}" uniqueName="37" name="Kanon etc." totalsRowFunction="custom" queryTableFieldId="37" dataDxfId="241" totalsRowDxfId="277">
      <totalsRowFormula>COUNTIF(Kringdagen_[Kanon etc.],"x")</totalsRowFormula>
    </tableColumn>
    <tableColumn id="38" xr3:uid="{09DC78AA-EA87-5848-852C-5DD36F3AEEAE}" uniqueName="38" name="Paarden en/of koetsen" totalsRowFunction="custom" queryTableFieldId="38" dataDxfId="240" totalsRowDxfId="278">
      <totalsRowFormula>COUNTIF(Kringdagen_[Paarden en/of koetsen],"x")</totalsRowFormula>
    </tableColumn>
    <tableColumn id="39" xr3:uid="{DAC7F8C5-3768-3646-A74F-45934111CC7A}" uniqueName="39" name="Toelichting/opmerkingen" queryTableFieldId="39" dataDxfId="239" totalsRowDxfId="279"/>
    <tableColumn id="40" xr3:uid="{508206D0-F2F1-3D4D-8190-D5718FC0CC2F}" uniqueName="40" name="Inzending-ID" queryTableFieldId="40" dataDxfId="238" totalsRowDxfId="280"/>
    <tableColumn id="41" xr3:uid="{DF58AEDA-60F3-3248-A9B2-1BC0964C01F4}" uniqueName="41" name="Inzenddatum" queryTableFieldId="41" dataDxfId="237" totalsRowDxfId="281"/>
    <tableColumn id="42" xr3:uid="{CCF91740-78D3-8246-B5EC-EF7495C78FFE}" uniqueName="42" name="Date Updated" queryTableFieldId="42" dataDxfId="236" totalsRowDxfId="282"/>
    <tableColumn id="43" xr3:uid="{B0661650-E741-CA45-AABE-9966FACA92F7}" uniqueName="43" name="Naam van het hoofdkorps" queryTableFieldId="43" dataDxfId="235" totalsRowDxfId="283"/>
    <tableColumn id="44" xr3:uid="{E15758B3-3FF4-8A43-A5FA-768F7A90D912}" uniqueName="44" name="Zal op treden als (hoofdkorps)" queryTableFieldId="44" dataDxfId="234" totalsRowDxfId="284"/>
    <tableColumn id="45" xr3:uid="{448AA543-6F1E-904C-BC7B-C9C4A9035D35}" uniqueName="45" name="Vorm van twee muziekwerken (hoofdkorps)" queryTableFieldId="45" dataDxfId="233" totalsRowDxfId="285"/>
    <tableColumn id="46" xr3:uid="{2F58B5D0-AA5A-F74D-9B2E-D5236E1913EB}" uniqueName="46" name="Zal uitkomen in de: (hoofdkorps)" queryTableFieldId="46" dataDxfId="232" totalsRowDxfId="286"/>
    <tableColumn id="47" xr3:uid="{203F5F88-611B-0F48-90FF-EEA02A9FE7EB}" uniqueName="47" name="Muziekwerk1 (hoofdkorps)" queryTableFieldId="47" dataDxfId="231" totalsRowDxfId="287"/>
    <tableColumn id="48" xr3:uid="{7173442D-23E1-3B48-B847-93596EAA7F90}" uniqueName="48" name="Muziekwerk2 (hoofdkorps)" queryTableFieldId="48" dataDxfId="230" totalsRowDxfId="288"/>
    <tableColumn id="49" xr3:uid="{3C2BD45A-5288-6146-8FBC-0735C0C436DC}" uniqueName="49" name="Korps bestaat uit ... deelnemers (hoofdkorps)" totalsRowFunction="sum" queryTableFieldId="49" totalsRowDxfId="289"/>
    <tableColumn id="50" xr3:uid="{66D67AC7-AE34-FA40-A5B4-F00524A5FBFE}" uniqueName="50" name="Wordt er gebruik gemaakt van mechanische muziek?" queryTableFieldId="50" dataDxfId="229"/>
    <tableColumn id="51" xr3:uid="{0125C46F-3449-6446-9BAE-B98EEECB91FB}" uniqueName="51" name="Onderdelen" queryTableFieldId="51" dataDxfId="228" totalsRowDxfId="290"/>
    <tableColumn id="52" xr3:uid="{42B7A06E-81C9-C442-9454-30197409DC16}" uniqueName="52" name="Secties" queryTableFieldId="52" dataDxfId="227" totalsRowDxfId="291"/>
    <tableColumn id="53" xr3:uid="{6E483FBA-93F9-CB4B-BE8A-BBB034C4AE73}" uniqueName="53" name="Leeftijdscategorie" queryTableFieldId="53" dataDxfId="226" totalsRowDxfId="29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0B7CFD6-A6FB-B444-A3B3-A2D0051EED94}" name="KDM" displayName="KDM" ref="A6:BA21" tableType="queryTable" totalsRowCount="1" headerRowDxfId="433" headerRowCellStyle="Goed">
  <autoFilter ref="A6:BA20" xr:uid="{F0B7CFD6-A6FB-B444-A3B3-A2D0051EED94}"/>
  <tableColumns count="53">
    <tableColumn id="5" xr3:uid="{5EFE727F-9553-8D41-A6EC-6E90350533A8}" uniqueName="5" name="Kringdag" totalsRowLabel="Totaal" queryTableFieldId="5"/>
    <tableColumn id="30" xr3:uid="{2BC4B32B-C077-9344-8C8F-CF05D11ADAB5}" uniqueName="30" name="Ver.nr." queryTableFieldId="1004"/>
    <tableColumn id="27" xr3:uid="{B6E1B8D0-5EA1-724F-A766-2B46324E3E8B}" uniqueName="27" name="Naam vereniging" totalsRowFunction="count" queryTableFieldId="27"/>
    <tableColumn id="23" xr3:uid="{D06120C0-1A52-CD4F-8254-7F41D0AC58F6}" uniqueName="23" name="Delegatie" totalsRowFunction="custom" queryTableFieldId="958">
      <totalsRowFormula>COUNTIF(KDM[Delegatie],"x")</totalsRowFormula>
    </tableColumn>
    <tableColumn id="31" xr3:uid="{088129A7-2E72-634B-9FF7-FD4E328C12A9}" uniqueName="31" name="Muziekkorps tijdens mars en defilé" totalsRowFunction="custom" queryTableFieldId="31" totalsRowDxfId="356">
      <totalsRowFormula>COUNTIF(KDM[Muziekkorps tijdens mars en defilé],"x")</totalsRowFormula>
    </tableColumn>
    <tableColumn id="33" xr3:uid="{625D98C8-4D4F-B349-B1FF-064607268536}" uniqueName="33" name="Deelname jeugdkoningschieten" totalsRowFunction="custom" queryTableFieldId="33" totalsRowDxfId="357">
      <totalsRowFormula>COUNTIF(KDM[Deelname jeugdkoningschieten],"x")</totalsRowFormula>
    </tableColumn>
    <tableColumn id="4" xr3:uid="{BDC16792-8545-3B4F-8B84-4BE71F3B8D7D}" uniqueName="4" name="Maj. Senioren jureren bij mars" totalsRowFunction="custom" queryTableFieldId="924" totalsRowDxfId="358">
      <totalsRowFormula>COUNTIF(KDM[Maj. Senioren jureren bij mars],"x")</totalsRowFormula>
    </tableColumn>
    <tableColumn id="7" xr3:uid="{0E94A373-D120-8942-984A-588C49BC117B}" uniqueName="7" name="Maj. Jeugd jureren bij mars" totalsRowFunction="custom" queryTableFieldId="925" totalsRowDxfId="359">
      <totalsRowFormula>COUNTIF(KDM[Maj. Jeugd jureren bij mars], "x")</totalsRowFormula>
    </tableColumn>
    <tableColumn id="8" xr3:uid="{7C765EED-6E99-6E44-8B2E-96C84C1319E9}" uniqueName="8" name="Korps senioren" totalsRowFunction="sum" queryTableFieldId="926"/>
    <tableColumn id="9" xr3:uid="{499AAECC-AC0C-8240-9532-9210D415264A}" uniqueName="9" name="Junioren korps 1" totalsRowFunction="sum" queryTableFieldId="927"/>
    <tableColumn id="10" xr3:uid="{292FF1CA-7246-A949-A2F3-C835B08D13E6}" uniqueName="10" name="Junioren korps 2" totalsRowFunction="sum" queryTableFieldId="928"/>
    <tableColumn id="11" xr3:uid="{80BBE633-B8A2-1643-8A59-5FF47AFA4427}" uniqueName="11" name="Aspiranten korps 1" totalsRowFunction="sum" queryTableFieldId="929"/>
    <tableColumn id="12" xr3:uid="{946D1169-1E4B-704B-9B8A-6C011CFC4E17}" uniqueName="12" name="Aspiranten korps 2" totalsRowFunction="sum" queryTableFieldId="930"/>
    <tableColumn id="13" xr3:uid="{2E0D69D4-78F7-6047-9D7E-D0F281295E5D}" uniqueName="13" name="Acrobatisch senioren" totalsRowFunction="sum" queryTableFieldId="931"/>
    <tableColumn id="14" xr3:uid="{A24836CF-D353-984A-939F-96BD33609662}" uniqueName="14" name="Acrobatisch junioren" totalsRowFunction="sum" queryTableFieldId="932"/>
    <tableColumn id="15" xr3:uid="{BFC3832B-5B5F-6840-9F5D-753758AD9DA6}" uniqueName="15" name="Acrobatisch aspiranten" totalsRowFunction="sum" queryTableFieldId="933"/>
    <tableColumn id="16" xr3:uid="{AA8CE63E-8135-134A-A0DD-849FE53FB472}" uniqueName="16" name="Opgeven vendeliers ind." totalsRowFunction="sum" queryTableFieldId="934"/>
    <tableColumn id="607" xr3:uid="{C45FC54F-AE1B-A24B-B354-B190B7FBDDDA}" uniqueName="607" name="Acrob. senioren indiv." totalsRowFunction="sum" queryTableFieldId="607"/>
    <tableColumn id="608" xr3:uid="{D685E59B-73DD-D547-AFEB-4B86213DFDE2}" uniqueName="608" name="Acrob. junioren indiv." totalsRowFunction="sum" queryTableFieldId="608"/>
    <tableColumn id="609" xr3:uid="{EAAC1EAB-697C-6D4C-A1C8-60224F435E22}" uniqueName="609" name="Acrob. aspiranten indiv." totalsRowFunction="sum" queryTableFieldId="609"/>
    <tableColumn id="145" xr3:uid="{1BD11674-3606-264C-AE37-821A3D1DF80F}" uniqueName="145" name="Deelname hoofdkorps" totalsRowFunction="custom" queryTableFieldId="145" totalsRowDxfId="360">
      <totalsRowFormula>COUNTIF(KDM[Deelname hoofdkorps], "x")</totalsRowFormula>
    </tableColumn>
    <tableColumn id="18" xr3:uid="{25334551-94E0-E847-960D-DF36507F9989}" uniqueName="18" name="Groepen, teams, ensembles en duo's" totalsRowFunction="sum" queryTableFieldId="936"/>
    <tableColumn id="24" xr3:uid="{E5360D65-8ABD-BF46-A62D-029578A979CA}" uniqueName="24" name="Aantal opgegeven majorettes" totalsRowFunction="sum" queryTableFieldId="959"/>
    <tableColumn id="17" xr3:uid="{405ED8FC-24B2-F04D-B81A-E150844DC4F2}" uniqueName="17" name="Opgeven bielemannen" totalsRowFunction="sum" queryTableFieldId="935"/>
    <tableColumn id="670" xr3:uid="{29F7251D-C75E-6745-9D38-015CE6E9B59A}" uniqueName="670" name="Senioren" totalsRowFunction="sum" queryTableFieldId="670"/>
    <tableColumn id="671" xr3:uid="{FAFC8897-29B9-AC4B-9E23-68ED890433D1}" uniqueName="671" name="Jong Volwassene" totalsRowFunction="sum" queryTableFieldId="671"/>
    <tableColumn id="672" xr3:uid="{F892C7F3-E9C2-D24D-9524-571486254EBD}" uniqueName="672" name="Junioren" totalsRowFunction="sum" queryTableFieldId="672"/>
    <tableColumn id="673" xr3:uid="{C100B334-D267-4142-94B3-9C6BFE71C865}" uniqueName="673" name="Aspiranten" totalsRowFunction="sum" queryTableFieldId="673"/>
    <tableColumn id="41" xr3:uid="{DE312B1E-B1A0-1E4A-A3A8-9EB57B894C29}" uniqueName="41" name="Deelname marketentsters" queryTableFieldId="41"/>
    <tableColumn id="518" xr3:uid="{3304F250-D370-5A4D-9AAB-04D88EC3516D}" uniqueName="518" name="Aantal luchtgeweerschutters" totalsRowFunction="sum" queryTableFieldId="518"/>
    <tableColumn id="519" xr3:uid="{EBA9A45B-85E7-BD4C-B23D-6ED6017E35E3}" uniqueName="519" name="Aantal luchtpistoolschutters" totalsRowFunction="sum" queryTableFieldId="519"/>
    <tableColumn id="520" xr3:uid="{43D1C4F5-C860-F140-A0BE-052B980BEC93}" uniqueName="520" name="Aantal handboogschutters" totalsRowFunction="sum" queryTableFieldId="520"/>
    <tableColumn id="521" xr3:uid="{93C217C3-826C-454F-9C49-D13EC221818D}" uniqueName="521" name="Aantal kruisboogschutters" totalsRowFunction="sum" queryTableFieldId="521"/>
    <tableColumn id="25" xr3:uid="{2F5F7D40-E9D4-9A4F-B934-9910CC9DB957}" uniqueName="25" name="(Aantal jeugdkorpsen" totalsRowFunction="sum" queryTableFieldId="960"/>
    <tableColumn id="559" xr3:uid="{786226BB-95E3-734F-8E0F-B3778C1423E3}" uniqueName="559" name="Totaal aantal deelnemers" totalsRowFunction="sum" queryTableFieldId="559"/>
    <tableColumn id="560" xr3:uid="{124EEF47-0C9A-3844-AF8D-08A8CFB2DB5F}" uniqueName="560" name="Waarvan aantal jeugd (t/m 15 jaar)" totalsRowFunction="sum" queryTableFieldId="560"/>
    <tableColumn id="28" xr3:uid="{637FE9F9-8571-A94B-9032-0B778B0DB565}" uniqueName="28" name="Kanon etc." queryTableFieldId="961"/>
    <tableColumn id="29" xr3:uid="{85ABE1E0-EC52-7F49-AC77-202BEEF070A6}" uniqueName="29" name="Paarden en/of koetsen" queryTableFieldId="962"/>
    <tableColumn id="563" xr3:uid="{D9D5C034-C51B-C94D-81C6-F5769E62C5CC}" uniqueName="563" name="Toelichting/opmerkingen" queryTableFieldId="563" dataDxfId="355" totalsRowDxfId="361"/>
    <tableColumn id="1" xr3:uid="{86A601A6-BCDB-1E47-8853-16BA267A32AE}" uniqueName="1" name="Inzending-ID" queryTableFieldId="1"/>
    <tableColumn id="2" xr3:uid="{3EF35081-038E-7842-A7EB-7CA8FF2C5936}" uniqueName="2" name="Inzenddatum" queryTableFieldId="2" dataDxfId="354"/>
    <tableColumn id="3" xr3:uid="{93D98E57-C19F-2547-804F-14D6B52FB846}" uniqueName="3" name="Date Updated" queryTableFieldId="3" dataDxfId="353"/>
    <tableColumn id="147" xr3:uid="{2881D365-9AAB-D942-8B97-C76B54ABA67B}" uniqueName="147" name="Naam van het hoofdkorps" queryTableFieldId="147"/>
    <tableColumn id="148" xr3:uid="{1E45FA26-86EB-0841-9FE0-BCD6BAD03C38}" uniqueName="148" name="Zal op treden als (hoofdkorps)" queryTableFieldId="148"/>
    <tableColumn id="149" xr3:uid="{DA47EB53-0E8A-3941-BB12-0207DD819F8C}" uniqueName="149" name="Vorm van twee muziekwerken (hoofdkorps)" queryTableFieldId="149"/>
    <tableColumn id="150" xr3:uid="{50EEC848-5739-C945-BF70-EB16B88581B1}" uniqueName="150" name="Zal uitkomen in de: (hoofdkorps)" queryTableFieldId="150"/>
    <tableColumn id="151" xr3:uid="{5A928DC3-FF21-5641-95A4-57CF223798AE}" uniqueName="151" name="Muziekwerk1 (hoofdkorps)" queryTableFieldId="151"/>
    <tableColumn id="152" xr3:uid="{64D7FF74-C45D-6249-A9E9-3ED0B471F296}" uniqueName="152" name="Muziekwerk2 (hoofdkorps)" queryTableFieldId="152"/>
    <tableColumn id="153" xr3:uid="{24F10D9C-5E96-B84C-9C67-B4BD893312E9}" uniqueName="153" name="Korps bestaat uit ... deelnemers (hoofdkorps)" queryTableFieldId="153"/>
    <tableColumn id="326" xr3:uid="{4EA1C357-943B-F043-B764-A96962B0F28A}" uniqueName="326" name="Wordt er gebruik gemaakt van mechanische muziek?" queryTableFieldId="326"/>
    <tableColumn id="19" xr3:uid="{CDEBD0DD-12B6-0A47-9AD3-C71F4D1430B1}" uniqueName="19" name="Onderdelen" queryTableFieldId="937"/>
    <tableColumn id="20" xr3:uid="{1D1B4D98-4291-1941-A5DE-DEA721C05F86}" uniqueName="20" name="Secties" queryTableFieldId="938"/>
    <tableColumn id="21" xr3:uid="{99DCDCC7-E09B-5F4F-BCE6-5921ACC15EB4}" uniqueName="21" name="Leeftijdscategorie" queryTableFieldId="939"/>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5DD99D-2F07-4FE5-B31E-FFC68007A593}" name="KDRvNB" displayName="KDRvNB" ref="A6:BA19" tableType="queryTable" totalsRowCount="1" headerRowDxfId="430" dataDxfId="429" totalsRowDxfId="428" headerRowCellStyle="Goed">
  <autoFilter ref="A6:BA18" xr:uid="{7B5DD99D-2F07-4FE5-B31E-FFC68007A593}"/>
  <tableColumns count="53">
    <tableColumn id="1" xr3:uid="{B42082E0-74DB-4949-8E35-E9A859804A26}" uniqueName="1" name="Kringdag" totalsRowLabel="Totaal" queryTableFieldId="1"/>
    <tableColumn id="2" xr3:uid="{18A94B89-1A02-2840-A7F2-F80C20C982E9}" uniqueName="2" name="Ver.nr." queryTableFieldId="114"/>
    <tableColumn id="3" xr3:uid="{D5B235C5-C286-495E-BCBA-47745390A66E}" uniqueName="3" name="Naam vereniging" totalsRowFunction="count" queryTableFieldId="3"/>
    <tableColumn id="4" xr3:uid="{FC31E2DE-14C2-4E55-85F8-E0109E214D05}" uniqueName="4" name="Delegatie" totalsRowFunction="custom" queryTableFieldId="4" dataDxfId="311" totalsRowDxfId="312">
      <totalsRowFormula>COUNTIF(KDRvNB[Delegatie],"x")</totalsRowFormula>
    </tableColumn>
    <tableColumn id="5" xr3:uid="{E611D357-4251-9745-B9F1-C499F4A1F7AE}" uniqueName="5" name="Muziekkorps tijdens mars en defilé" totalsRowFunction="custom" queryTableFieldId="115" totalsRowDxfId="313">
      <totalsRowFormula>COUNTIF(KDRvNB[Muziekkorps tijdens mars en defilé],"x")</totalsRowFormula>
    </tableColumn>
    <tableColumn id="6" xr3:uid="{03F59FBA-6F99-3D46-BBC3-DFB609BE7DA4}" uniqueName="6" name="Deelname jeugdkoningschieten" totalsRowFunction="custom" queryTableFieldId="116" totalsRowDxfId="314">
      <totalsRowFormula>COUNTIF(KDRvNB[Deelname jeugdkoningschieten],"x")</totalsRowFormula>
    </tableColumn>
    <tableColumn id="7" xr3:uid="{39C00582-4386-4EEA-B883-3387D078164A}" uniqueName="7" name="Maj. Senioren jureren bij mars" totalsRowFunction="custom" queryTableFieldId="7" dataDxfId="310" totalsRowDxfId="315">
      <totalsRowFormula>COUNTIF(KDRvNB[Maj. Senioren jureren bij mars],"x")</totalsRowFormula>
    </tableColumn>
    <tableColumn id="8" xr3:uid="{4E9FA65C-BE60-48DA-B279-01D2C843F0E0}" uniqueName="8" name="Maj. Jeugd jureren bij mars" totalsRowFunction="custom" queryTableFieldId="8" dataDxfId="309" totalsRowDxfId="316">
      <totalsRowFormula>COUNTIF(KDRvNB[Maj. Jeugd jureren bij mars],"x")</totalsRowFormula>
    </tableColumn>
    <tableColumn id="9" xr3:uid="{EFA0D6B1-D99C-40A9-86CF-608DA41F1972}" uniqueName="9" name="Korps senioren" totalsRowFunction="sum" queryTableFieldId="9" dataDxfId="308" totalsRowDxfId="317"/>
    <tableColumn id="10" xr3:uid="{632564B9-80BF-4EE0-AD7D-B7AD5B403386}" uniqueName="10" name="Junioren korps 1" totalsRowFunction="sum" queryTableFieldId="106" totalsRowDxfId="318"/>
    <tableColumn id="11" xr3:uid="{2BBE822F-4082-4C0F-89C6-E3899B434027}" uniqueName="11" name="Junioren korps 2" totalsRowFunction="sum" queryTableFieldId="107" totalsRowDxfId="319"/>
    <tableColumn id="26" xr3:uid="{D49E85C0-A527-4F96-8273-342DE4E6468D}" uniqueName="26" name="Aspiranten korps 1" totalsRowFunction="sum" queryTableFieldId="108" totalsRowDxfId="320"/>
    <tableColumn id="30" xr3:uid="{D5CC78F7-E3D4-4BA1-8F91-7CAFE6279E9C}" uniqueName="30" name="Aspiranten korps 2" totalsRowFunction="sum" queryTableFieldId="109" totalsRowDxfId="321"/>
    <tableColumn id="12" xr3:uid="{70A20D86-F728-446F-9730-5B328A909B16}" uniqueName="12" name="Acrobatisch senioren" totalsRowFunction="sum" queryTableFieldId="12" dataDxfId="307" totalsRowDxfId="322"/>
    <tableColumn id="13" xr3:uid="{9E02CCEF-987E-4D1E-9F70-0FFFD16E0DCB}" uniqueName="13" name="Acrobatisch junioren" totalsRowFunction="sum" queryTableFieldId="13" dataDxfId="306" totalsRowDxfId="323"/>
    <tableColumn id="14" xr3:uid="{3AFD9C15-E86E-4AD5-AFA3-9A2B7390A6E8}" uniqueName="14" name="Acrobatisch aspiranten" totalsRowFunction="sum" queryTableFieldId="14" dataDxfId="305" totalsRowDxfId="324"/>
    <tableColumn id="15" xr3:uid="{AD444497-9BF6-394C-95D9-7C5D9BF716ED}" uniqueName="15" name="Opgeven vendeliers ind." totalsRowFunction="sum" queryTableFieldId="117"/>
    <tableColumn id="16" xr3:uid="{0F00C7DD-53DA-B64E-BB0C-2A2B4E1E879D}" uniqueName="16" name="Acrob. senioren indiv." totalsRowFunction="sum" queryTableFieldId="118"/>
    <tableColumn id="17" xr3:uid="{F9EEFB12-395A-554B-B74F-DCFDFA0FD1F7}" uniqueName="17" name="Acrob. junioren indiv." totalsRowFunction="sum" queryTableFieldId="119"/>
    <tableColumn id="18" xr3:uid="{A3555F43-F597-3140-84D9-D4C25485942D}" uniqueName="18" name="Acrob. aspiranten indiv." totalsRowFunction="sum" queryTableFieldId="120"/>
    <tableColumn id="19" xr3:uid="{0350733D-0A46-8048-ACFE-BA2E725EA3FE}" uniqueName="19" name="Deelname hoofdkorps" totalsRowFunction="custom" queryTableFieldId="121" totalsRowDxfId="325">
      <totalsRowFormula>COUNTIF(KDRvNB[Deelname hoofdkorps],"x")</totalsRowFormula>
    </tableColumn>
    <tableColumn id="31" xr3:uid="{73BAC8BE-23F3-4460-B518-ADAFDEB40510}" uniqueName="31" name="Groepen, teams, ensembles en duo's" totalsRowFunction="sum" queryTableFieldId="74" totalsRowDxfId="326"/>
    <tableColumn id="70" xr3:uid="{7CBECFE5-28C8-4F6D-94C3-BF35CCED0979}" uniqueName="70" name="Aantal opgegeven majorettes" totalsRowFunction="sum" queryTableFieldId="70" dataDxfId="304" totalsRowDxfId="327"/>
    <tableColumn id="20" xr3:uid="{B8FAAB63-5649-014A-889E-62290ECA3E65}" uniqueName="20" name="Opgeven bielemannen" totalsRowFunction="sum" queryTableFieldId="122"/>
    <tableColumn id="27" xr3:uid="{82F0E3A4-A915-4065-9F2F-7E6CB47AC3D0}" uniqueName="27" name="Senioren" totalsRowFunction="sum" queryTableFieldId="27" dataDxfId="303" totalsRowDxfId="328"/>
    <tableColumn id="32" xr3:uid="{CF885C7D-918D-4FFB-8613-DC71A36CDBE4}" uniqueName="32" name="Jong Volwassene" totalsRowFunction="sum" queryTableFieldId="75" totalsRowDxfId="329"/>
    <tableColumn id="28" xr3:uid="{E85FE71A-C8E3-445C-95F4-06AF9F082A44}" uniqueName="28" name="Junioren" totalsRowFunction="sum" queryTableFieldId="28" dataDxfId="302" totalsRowDxfId="330"/>
    <tableColumn id="29" xr3:uid="{011E5AFC-E767-45D2-BF94-FB0AA9C85AEF}" uniqueName="29" name="Aspiranten" totalsRowFunction="sum" queryTableFieldId="29" dataDxfId="301" totalsRowDxfId="331"/>
    <tableColumn id="21" xr3:uid="{A7848624-6281-254B-9F3F-05929727D89B}" uniqueName="21" name="Deelname marketentsters" totalsRowFunction="custom" queryTableFieldId="123" totalsRowDxfId="332">
      <totalsRowFormula>COUNTIF(KDRvNB[Deelname marketentsters],"x")</totalsRowFormula>
    </tableColumn>
    <tableColumn id="42" xr3:uid="{24F13D70-9263-4DDF-A235-FD6B8B26266A}" uniqueName="42" name="Aantal luchtgeweerschutters" totalsRowFunction="sum" queryTableFieldId="80"/>
    <tableColumn id="43" xr3:uid="{C393A973-FD8D-4A10-982E-E97F1A805E28}" uniqueName="43" name="Aantal luchtpistoolschutters" totalsRowFunction="sum" queryTableFieldId="81" totalsRowDxfId="333"/>
    <tableColumn id="44" xr3:uid="{E6F794C2-3817-417C-8810-8334633C414B}" uniqueName="44" name="Aantal handboogschutters" totalsRowFunction="sum" queryTableFieldId="82"/>
    <tableColumn id="71" xr3:uid="{03EB338E-F00D-40E8-907E-B97BDC6559CA}" uniqueName="71" name="Aantal kruisboogschutters" totalsRowFunction="sum" queryTableFieldId="83" totalsRowDxfId="334"/>
    <tableColumn id="22" xr3:uid="{11D07504-32C0-4445-A2A0-F474FCA54A8E}" uniqueName="22" name="(Aantal jeugdkorpsen" totalsRowFunction="sum" queryTableFieldId="124"/>
    <tableColumn id="45" xr3:uid="{2E0BDF72-C038-43B2-B6CF-DFB9D6093FA3}" uniqueName="45" name="Totaal aantal deelnemers" totalsRowFunction="sum" queryTableFieldId="45" dataDxfId="300" totalsRowDxfId="335"/>
    <tableColumn id="46" xr3:uid="{5E1BF68D-462C-409C-978D-1318A9143282}" uniqueName="46" name="Waarvan aantal jeugd (t/m 15 jaar)" totalsRowFunction="sum" queryTableFieldId="46" dataDxfId="299" totalsRowDxfId="336"/>
    <tableColumn id="47" xr3:uid="{8A13F570-A52A-4AD2-BC9A-520454870C49}" uniqueName="47" name="Kanon etc." totalsRowFunction="custom" queryTableFieldId="47" totalsRowDxfId="337">
      <totalsRowFormula>COUNTIF(KDRvNB[Kanon etc.],"x")</totalsRowFormula>
    </tableColumn>
    <tableColumn id="48" xr3:uid="{0444CE5A-A537-4AA1-A567-0413645D4AE8}" uniqueName="48" name="Paarden en/of koetsen" totalsRowFunction="custom" queryTableFieldId="48" totalsRowDxfId="338">
      <totalsRowFormula>COUNTIF(KDRvNB[Paarden en/of koetsen],"x")</totalsRowFormula>
    </tableColumn>
    <tableColumn id="49" xr3:uid="{E6CD3893-5116-41A8-997A-AC4CE71AB4D7}" uniqueName="49" name="Toelichting/opmerkingen" queryTableFieldId="49" dataDxfId="298" totalsRowDxfId="339"/>
    <tableColumn id="50" xr3:uid="{D30A42E9-05F3-4D27-AADE-91D7208D65F3}" uniqueName="50" name="Inzending-ID" queryTableFieldId="50" totalsRowDxfId="340"/>
    <tableColumn id="51" xr3:uid="{994F13E0-9F42-4EC0-9C25-32468DC3D4EF}" uniqueName="51" name="Inzenddatum" queryTableFieldId="51" dataDxfId="297" totalsRowDxfId="341"/>
    <tableColumn id="75" xr3:uid="{AACADDA0-B957-4C95-BC88-FFD64633A5C3}" uniqueName="75" name="Date Updated" queryTableFieldId="87" dataDxfId="296" totalsRowDxfId="342"/>
    <tableColumn id="52" xr3:uid="{536E9C37-AE5D-4771-B866-84F7EFC28977}" uniqueName="52" name="Naam van het hoofdkorps" queryTableFieldId="52" totalsRowDxfId="343"/>
    <tableColumn id="53" xr3:uid="{22E584B9-D500-41BB-8BF2-C5EC64BA4A42}" uniqueName="53" name="Zal op treden als (hoofdkorps)" queryTableFieldId="53" totalsRowDxfId="344"/>
    <tableColumn id="54" xr3:uid="{61D13E15-1C39-4998-AA76-3572993DA605}" uniqueName="54" name="Vorm van twee muziekwerken (hoofdkorps)" queryTableFieldId="54" totalsRowDxfId="345"/>
    <tableColumn id="55" xr3:uid="{94ED26B9-C100-4987-8FE7-275434ADD182}" uniqueName="55" name="Zal uitkomen in de: (hoofdkorps)" queryTableFieldId="55" totalsRowDxfId="346"/>
    <tableColumn id="56" xr3:uid="{04D6D9F4-11A1-4E44-A1CE-1D67D85CBCD9}" uniqueName="56" name="Muziekwerk1 (hoofdkorps)" queryTableFieldId="56" totalsRowDxfId="347"/>
    <tableColumn id="57" xr3:uid="{1FCC70C9-1F01-4EE9-9783-A3F86B50143B}" uniqueName="57" name="Muziekwerk2 (hoofdkorps)" queryTableFieldId="57" totalsRowDxfId="348"/>
    <tableColumn id="58" xr3:uid="{4059FC07-4172-4C8D-8C7E-169B90488A40}" uniqueName="58" name="Korps bestaat uit ... deelnemers (hoofdkorps)" totalsRowFunction="sum" queryTableFieldId="58" totalsRowDxfId="349"/>
    <tableColumn id="23" xr3:uid="{90CDE2FF-4A7E-A947-8FC0-AFB659BC25EF}" uniqueName="23" name="Wordt er gebruik gemaakt van mechanische muziek?" queryTableFieldId="125"/>
    <tableColumn id="66" xr3:uid="{A258ECB5-EA42-47A3-9965-66B4540827F3}" uniqueName="66" name="Onderdelen" queryTableFieldId="66" dataDxfId="295" totalsRowDxfId="350"/>
    <tableColumn id="67" xr3:uid="{276716A1-6C96-4B1C-ABEA-171ACB050A77}" uniqueName="67" name="Secties" queryTableFieldId="67" dataDxfId="294" totalsRowDxfId="351"/>
    <tableColumn id="68" xr3:uid="{07574B23-6B09-4583-80FD-023D2E8ACABE}" uniqueName="68" name="Leeftijdscategorie" queryTableFieldId="68" dataDxfId="293" totalsRowDxfId="35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380FAE-78F6-5A4E-A1F6-FF7C02893260}" name="KDL" displayName="KDL" ref="A5:BA20" tableType="queryTable" totalsRowCount="1" headerRowDxfId="432" totalsRowDxfId="431" headerRowCellStyle="Goed">
  <autoFilter ref="A5:BA19" xr:uid="{92380FAE-78F6-5A4E-A1F6-FF7C02893260}"/>
  <tableColumns count="53">
    <tableColumn id="1" xr3:uid="{2EBFBDB1-98E8-EF43-B479-CBB9BDAE4C7C}" uniqueName="1" name="Kringdag" totalsRowLabel="Totaal" queryTableFieldId="1" dataDxfId="184"/>
    <tableColumn id="2" xr3:uid="{DE0D87AD-8990-454F-A9CB-2F22C54F5A74}" uniqueName="2" name="Ver.nr." queryTableFieldId="2" dataDxfId="183"/>
    <tableColumn id="3" xr3:uid="{848ABCDC-959E-9E40-B427-ECC3B21354E8}" uniqueName="3" name="Naam vereniging" totalsRowFunction="count" queryTableFieldId="3" dataDxfId="182"/>
    <tableColumn id="4" xr3:uid="{E353D206-A41D-FA4C-983A-16D74BB8FEC7}" uniqueName="4" name="Delegatie" totalsRowFunction="custom" queryTableFieldId="4" dataDxfId="181" totalsRowDxfId="185">
      <totalsRowFormula>COUNTIF(KDL[Delegatie],"x")</totalsRowFormula>
    </tableColumn>
    <tableColumn id="5" xr3:uid="{0D0B301B-F12E-DF49-A0BA-9261AD89936A}" uniqueName="5" name="Muziekkorps tijdens mars en defilé" totalsRowFunction="custom" queryTableFieldId="5" dataDxfId="180" totalsRowDxfId="186">
      <totalsRowFormula>COUNTIF(KDL[Muziekkorps tijdens mars en defilé],"x")</totalsRowFormula>
    </tableColumn>
    <tableColumn id="6" xr3:uid="{49D7B4AB-FE3C-0C46-A75A-65670DD19A50}" uniqueName="6" name="Deelname jeugdkoningschieten" totalsRowFunction="custom" queryTableFieldId="6" dataDxfId="179" totalsRowDxfId="187">
      <totalsRowFormula>COUNTIF(KDL[Deelname jeugdkoningschieten],"x")</totalsRowFormula>
    </tableColumn>
    <tableColumn id="7" xr3:uid="{1A40A63C-67CE-384A-A1CB-B44C53B7CC49}" uniqueName="7" name="Maj. Senioren jureren bij mars" totalsRowFunction="custom" queryTableFieldId="7" dataDxfId="178" totalsRowDxfId="188">
      <totalsRowFormula>COUNTIF(KDL[Maj. Senioren jureren bij mars],"x")</totalsRowFormula>
    </tableColumn>
    <tableColumn id="8" xr3:uid="{645A23DD-BAF3-0840-AA16-2B3E079E3FB2}" uniqueName="8" name="Maj. Jeugd jureren bij mars" totalsRowFunction="custom" queryTableFieldId="8" dataDxfId="177" totalsRowDxfId="189">
      <totalsRowFormula>COUNTIF(KDL[Maj. Jeugd jureren bij mars],"x")</totalsRowFormula>
    </tableColumn>
    <tableColumn id="9" xr3:uid="{A5336926-4DF9-3D40-B974-FB67539C70E9}" uniqueName="9" name="Korps senioren" totalsRowFunction="sum" queryTableFieldId="9" totalsRowDxfId="190"/>
    <tableColumn id="10" xr3:uid="{10960B20-20E6-0746-9A08-F28DB9FF5FBF}" uniqueName="10" name="Junioren korps 1" totalsRowFunction="sum" queryTableFieldId="10" totalsRowDxfId="191"/>
    <tableColumn id="11" xr3:uid="{671D4BC5-58B0-064F-80C2-2AF1EBAB3FC5}" uniqueName="11" name="Junioren korps 2" totalsRowFunction="sum" queryTableFieldId="11" totalsRowDxfId="192"/>
    <tableColumn id="12" xr3:uid="{E8C04109-F8C1-2546-865B-E353C9C505B5}" uniqueName="12" name="Aspiranten korps 1" totalsRowFunction="sum" queryTableFieldId="12" totalsRowDxfId="193"/>
    <tableColumn id="13" xr3:uid="{0E731F20-505B-E64C-82BF-607F86D1A75B}" uniqueName="13" name="Aspiranten korps 2" totalsRowFunction="sum" queryTableFieldId="13" totalsRowDxfId="194"/>
    <tableColumn id="14" xr3:uid="{16AD7862-2257-6B47-80F5-2A5416504E4E}" uniqueName="14" name="Acrobatisch senioren" totalsRowFunction="sum" queryTableFieldId="14" totalsRowDxfId="195"/>
    <tableColumn id="15" xr3:uid="{1968A574-8AE1-0447-9563-15205870752E}" uniqueName="15" name="Acrobatisch junioren" totalsRowFunction="sum" queryTableFieldId="15" totalsRowDxfId="196"/>
    <tableColumn id="16" xr3:uid="{4B579A46-4F8A-BA41-A542-41D1F7E1CF3D}" uniqueName="16" name="Acrobatisch aspiranten" totalsRowFunction="sum" queryTableFieldId="16" totalsRowDxfId="197"/>
    <tableColumn id="17" xr3:uid="{532026FA-D216-BB40-8020-C3DD3938A4D3}" uniqueName="17" name="Opgeven vendeliers ind." totalsRowFunction="sum" queryTableFieldId="17"/>
    <tableColumn id="18" xr3:uid="{C192FD35-7364-9C4A-8EEF-7845450DF4DF}" uniqueName="18" name="Acrob. senioren indiv." totalsRowFunction="sum" queryTableFieldId="18"/>
    <tableColumn id="19" xr3:uid="{C5D825C6-A199-3147-8B54-721E42034954}" uniqueName="19" name="Acrob. junioren indiv." totalsRowFunction="sum" queryTableFieldId="19"/>
    <tableColumn id="20" xr3:uid="{83ABA2E7-6817-9B49-80AB-2B9CF96E9721}" uniqueName="20" name="Acrob. aspiranten indiv." totalsRowFunction="sum" queryTableFieldId="20"/>
    <tableColumn id="21" xr3:uid="{52611CCE-D793-3844-9DC0-9FE859A856AC}" uniqueName="21" name="Deelname hoofdkorps" totalsRowFunction="custom" queryTableFieldId="21" dataDxfId="176" totalsRowDxfId="198">
      <totalsRowFormula>COUNTIF(KDL[Deelname hoofdkorps],"x")</totalsRowFormula>
    </tableColumn>
    <tableColumn id="22" xr3:uid="{CA623AB1-E553-1348-BD93-CF19CD58D0FF}" uniqueName="22" name="Groepen, teams, ensembles en duo's" totalsRowFunction="sum" queryTableFieldId="22" totalsRowDxfId="199"/>
    <tableColumn id="23" xr3:uid="{023B22F1-081B-DB49-AF86-960F40249E83}" uniqueName="23" name="Aantal opgegeven majorettes" totalsRowFunction="sum" queryTableFieldId="23" totalsRowDxfId="200"/>
    <tableColumn id="24" xr3:uid="{70BA14D9-59EA-0546-B2F5-0B5C6EACEB46}" uniqueName="24" name="Opgeven bielemannen" totalsRowFunction="sum" queryTableFieldId="24"/>
    <tableColumn id="25" xr3:uid="{BA6E0BCC-9826-E040-87DE-35ABED6AB561}" uniqueName="25" name="Senioren" totalsRowFunction="sum" queryTableFieldId="25" totalsRowDxfId="201"/>
    <tableColumn id="26" xr3:uid="{B4308CF8-60EC-3D49-9839-BABE54FCA4A7}" uniqueName="26" name="Jong Volwassene" totalsRowFunction="sum" queryTableFieldId="26" totalsRowDxfId="202"/>
    <tableColumn id="27" xr3:uid="{7CFA199E-2BDE-AF48-9AEC-17B4160A5150}" uniqueName="27" name="Junioren" totalsRowFunction="sum" queryTableFieldId="27" totalsRowDxfId="203"/>
    <tableColumn id="28" xr3:uid="{C91D2C87-BCDB-9544-A5C2-A796C338EB77}" uniqueName="28" name="Aspiranten" totalsRowFunction="sum" queryTableFieldId="28" totalsRowDxfId="204"/>
    <tableColumn id="29" xr3:uid="{63FCAA89-24D7-CF44-A50A-208A3D15C9F9}" uniqueName="29" name="Deelname marketentsters" totalsRowFunction="custom" queryTableFieldId="29" dataDxfId="175" totalsRowDxfId="205">
      <totalsRowFormula>COUNTIF(KDL[Deelname marketentsters],"x")</totalsRowFormula>
    </tableColumn>
    <tableColumn id="30" xr3:uid="{B220A6AE-523E-0447-9CF0-720D769235CD}" uniqueName="30" name="Aantal luchtgeweerschutters" totalsRowFunction="sum" queryTableFieldId="30"/>
    <tableColumn id="31" xr3:uid="{0399640E-9629-EB4B-9D52-9968354381CD}" uniqueName="31" name="Aantal luchtpistoolschutters" totalsRowFunction="sum" queryTableFieldId="31" totalsRowDxfId="206"/>
    <tableColumn id="32" xr3:uid="{AC00BFFA-F82E-2B46-9794-F2BDFDB375BD}" uniqueName="32" name="Aantal handboogschutters" totalsRowFunction="sum" queryTableFieldId="32"/>
    <tableColumn id="33" xr3:uid="{421AEC43-0DE6-484C-AECB-D3BB1958F11F}" uniqueName="33" name="Aantal kruisboogschutters" totalsRowFunction="sum" queryTableFieldId="33" totalsRowDxfId="207"/>
    <tableColumn id="34" xr3:uid="{242B7E78-39A0-4944-9347-DB86B7870CD1}" uniqueName="34" name="(Aantal jeugdkorpsen" totalsRowFunction="sum" queryTableFieldId="34"/>
    <tableColumn id="35" xr3:uid="{EA600FFC-5A72-1446-9880-7264ADB7C9A4}" uniqueName="35" name="Totaal aantal deelnemers" totalsRowFunction="sum" queryTableFieldId="35" totalsRowDxfId="208"/>
    <tableColumn id="36" xr3:uid="{115AA628-B841-844F-877F-13C5DEE69FE8}" uniqueName="36" name="Waarvan aantal jeugd (t/m 15 jaar)" totalsRowFunction="sum" queryTableFieldId="36" totalsRowDxfId="209"/>
    <tableColumn id="37" xr3:uid="{B3FEC567-E1DE-1A47-9581-287D1E040778}" uniqueName="37" name="Kanon etc." totalsRowFunction="custom" queryTableFieldId="37" dataDxfId="174" totalsRowDxfId="210">
      <totalsRowFormula>COUNTIF(KDL[Kanon etc.],"x")</totalsRowFormula>
    </tableColumn>
    <tableColumn id="38" xr3:uid="{D0DB60BD-0E90-1F4B-8C9F-2FFED7E029F0}" uniqueName="38" name="Paarden en/of koetsen" totalsRowFunction="custom" queryTableFieldId="38" dataDxfId="173" totalsRowDxfId="211">
      <totalsRowFormula>COUNTIF(KDL[Paarden en/of koetsen],"x")</totalsRowFormula>
    </tableColumn>
    <tableColumn id="39" xr3:uid="{608FE60D-569F-6D4F-AC29-6ABC715ABC13}" uniqueName="39" name="Toelichting/opmerkingen" queryTableFieldId="39" dataDxfId="172" totalsRowDxfId="212"/>
    <tableColumn id="40" xr3:uid="{EF90FD9B-61CB-0849-A416-D9FB23C3CA83}" uniqueName="40" name="Inzending-ID" queryTableFieldId="40" dataDxfId="171" totalsRowDxfId="213"/>
    <tableColumn id="41" xr3:uid="{F59F9B89-D586-3E4B-9EA9-468EAAA663B4}" uniqueName="41" name="Inzenddatum" queryTableFieldId="41" dataDxfId="170" totalsRowDxfId="214"/>
    <tableColumn id="42" xr3:uid="{57559455-5998-C343-A5AA-59AC4FA81892}" uniqueName="42" name="Date Updated" queryTableFieldId="42" dataDxfId="169" totalsRowDxfId="215"/>
    <tableColumn id="43" xr3:uid="{2C3279B5-9269-0443-8AB7-480C019C3C91}" uniqueName="43" name="Naam van het hoofdkorps" queryTableFieldId="43" dataDxfId="168" totalsRowDxfId="216"/>
    <tableColumn id="44" xr3:uid="{1EC34B04-03D4-0F41-97D6-72D5E80F6817}" uniqueName="44" name="Zal op treden als (hoofdkorps)" queryTableFieldId="44" dataDxfId="167" totalsRowDxfId="217"/>
    <tableColumn id="45" xr3:uid="{8AF5301C-620F-A840-890D-9A8800BD5D15}" uniqueName="45" name="Vorm van twee muziekwerken (hoofdkorps)" queryTableFieldId="45" dataDxfId="166" totalsRowDxfId="218"/>
    <tableColumn id="46" xr3:uid="{A6962E68-12C6-0445-B131-CE6DBD887704}" uniqueName="46" name="Zal uitkomen in de: (hoofdkorps)" queryTableFieldId="46" dataDxfId="165" totalsRowDxfId="219"/>
    <tableColumn id="47" xr3:uid="{5DB06DA4-E7B9-1049-862A-814A68B19D47}" uniqueName="47" name="Muziekwerk1 (hoofdkorps)" queryTableFieldId="47" dataDxfId="164" totalsRowDxfId="220"/>
    <tableColumn id="48" xr3:uid="{B46C2976-F559-5248-93E8-5FE1B08855FB}" uniqueName="48" name="Muziekwerk2 (hoofdkorps)" queryTableFieldId="48" dataDxfId="163" totalsRowDxfId="221"/>
    <tableColumn id="49" xr3:uid="{F9BABF7E-54A2-924D-8B45-66A892BD7B06}" uniqueName="49" name="Korps bestaat uit ... deelnemers (hoofdkorps)" totalsRowFunction="sum" queryTableFieldId="49" totalsRowDxfId="222"/>
    <tableColumn id="50" xr3:uid="{24CBA3ED-56AF-F64E-AF36-8B5F61115866}" uniqueName="50" name="Wordt er gebruik gemaakt van mechanische muziek?" queryTableFieldId="50" dataDxfId="162"/>
    <tableColumn id="51" xr3:uid="{FA87FAF4-AE98-1B4B-A56F-784AE52BFD54}" uniqueName="51" name="Onderdelen" queryTableFieldId="51" dataDxfId="161" totalsRowDxfId="223"/>
    <tableColumn id="52" xr3:uid="{A550ABF4-D2FF-2946-B801-D59301BEB7C7}" uniqueName="52" name="Secties" queryTableFieldId="52" dataDxfId="160" totalsRowDxfId="224"/>
    <tableColumn id="53" xr3:uid="{70756A03-37F7-7C4A-8775-BABA9E8F35CB}" uniqueName="53" name="Leeftijdscategorie" queryTableFieldId="53" dataDxfId="159" totalsRowDxfId="225"/>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03BB8E-8791-9F47-B261-7A8685D80CA1}" name="KDA_" displayName="KDA_" ref="A5:BA27" tableType="queryTable" totalsRowCount="1">
  <autoFilter ref="A5:BA26" xr:uid="{1303BB8E-8791-9F47-B261-7A8685D80CA1}"/>
  <tableColumns count="53">
    <tableColumn id="1" xr3:uid="{334004EE-5733-8B45-8CF7-3DBE33F581F0}" uniqueName="1" name="Kringdag" totalsRowLabel="Totaal" queryTableFieldId="1" dataDxfId="117"/>
    <tableColumn id="2" xr3:uid="{5B03A175-F1A2-7C47-A9F2-C5D90490CA8A}" uniqueName="2" name="Ver.nr." queryTableFieldId="2" dataDxfId="116"/>
    <tableColumn id="3" xr3:uid="{CC87DF9A-5F72-CE49-A010-E445B029002C}" uniqueName="3" name="Naam vereniging" totalsRowFunction="count" queryTableFieldId="3" dataDxfId="115"/>
    <tableColumn id="4" xr3:uid="{7D8CE570-0862-974B-81A5-8F3AAE3C58FF}" uniqueName="4" name="Delegatie" totalsRowFunction="custom" queryTableFieldId="4" dataDxfId="114" totalsRowDxfId="118">
      <totalsRowFormula>COUNTIF(KDA_[Delegatie],"x")</totalsRowFormula>
    </tableColumn>
    <tableColumn id="5" xr3:uid="{20A2C9A0-E980-D541-A7A3-05C05A71B78C}" uniqueName="5" name="Muziekkorps tijdens mars en defilé" totalsRowFunction="custom" queryTableFieldId="5" dataDxfId="113" totalsRowDxfId="119">
      <totalsRowFormula>COUNTIF(KDA_[Muziekkorps tijdens mars en defilé],"x")</totalsRowFormula>
    </tableColumn>
    <tableColumn id="6" xr3:uid="{0D5BAB8B-8E75-1B4C-AB46-1770D1597C6A}" uniqueName="6" name="Deelname jeugdkoningschieten" totalsRowFunction="custom" queryTableFieldId="6" dataDxfId="112" totalsRowDxfId="120">
      <totalsRowFormula>COUNTIF(KDA_[Deelname jeugdkoningschieten],"x")</totalsRowFormula>
    </tableColumn>
    <tableColumn id="7" xr3:uid="{F1518E2E-DC8B-DC4B-8C92-D61A922D9EBC}" uniqueName="7" name="Maj. Senioren jureren bij mars" totalsRowFunction="custom" queryTableFieldId="7" dataDxfId="111" totalsRowDxfId="121">
      <totalsRowFormula>COUNTIF(KDA_[Maj. Senioren jureren bij mars],"x")</totalsRowFormula>
    </tableColumn>
    <tableColumn id="8" xr3:uid="{F62DA8D6-E312-DA47-9724-D72FFC5C083C}" uniqueName="8" name="Maj. Jeugd jureren bij mars" totalsRowFunction="custom" queryTableFieldId="8" dataDxfId="110" totalsRowDxfId="122">
      <totalsRowFormula>COUNTIF(KDA_[Maj. Jeugd jureren bij mars],"x")</totalsRowFormula>
    </tableColumn>
    <tableColumn id="9" xr3:uid="{F44F843C-B396-2F4B-97FB-61FE0FB7672B}" uniqueName="9" name="Korps senioren" totalsRowFunction="sum" queryTableFieldId="9" totalsRowDxfId="123"/>
    <tableColumn id="10" xr3:uid="{54D7E5DC-F027-5B41-A684-411282343626}" uniqueName="10" name="Junioren korps 1" totalsRowFunction="sum" queryTableFieldId="10" totalsRowDxfId="124"/>
    <tableColumn id="11" xr3:uid="{2C6FE650-6C03-E24A-AC42-3E28D8A7CB7C}" uniqueName="11" name="Junioren korps 2" totalsRowFunction="sum" queryTableFieldId="11" totalsRowDxfId="125"/>
    <tableColumn id="12" xr3:uid="{AB1C5F0B-04BA-BD4A-9C5B-C89E2653EB0A}" uniqueName="12" name="Aspiranten korps 1" totalsRowFunction="sum" queryTableFieldId="12" totalsRowDxfId="126"/>
    <tableColumn id="13" xr3:uid="{1E94E695-1335-CE4C-B154-16BA75F13BDC}" uniqueName="13" name="Aspiranten korps 2" totalsRowFunction="sum" queryTableFieldId="13" totalsRowDxfId="127"/>
    <tableColumn id="14" xr3:uid="{85F3B895-ADA2-AC4E-B0D9-0151BA6E4781}" uniqueName="14" name="Acrobatisch senioren" totalsRowFunction="sum" queryTableFieldId="14" totalsRowDxfId="128"/>
    <tableColumn id="15" xr3:uid="{25FB55FF-B130-3448-BB57-A43442CA0A84}" uniqueName="15" name="Acrobatisch junioren" totalsRowFunction="sum" queryTableFieldId="15" totalsRowDxfId="129"/>
    <tableColumn id="16" xr3:uid="{E64AE055-7316-314B-9B66-29972F76791F}" uniqueName="16" name="Acrobatisch aspiranten" totalsRowFunction="sum" queryTableFieldId="16" totalsRowDxfId="130"/>
    <tableColumn id="17" xr3:uid="{8C8A466B-C52A-4E4D-BC32-29699A9778AE}" uniqueName="17" name="Opgeven vendeliers ind." totalsRowFunction="sum" queryTableFieldId="17"/>
    <tableColumn id="18" xr3:uid="{161D36EE-A063-7B49-89E6-50F091F9E8BB}" uniqueName="18" name="Acrob. senioren indiv." totalsRowFunction="sum" queryTableFieldId="18"/>
    <tableColumn id="19" xr3:uid="{D528C573-DF32-014E-86F4-66C7DE3D026B}" uniqueName="19" name="Acrob. junioren indiv." totalsRowFunction="sum" queryTableFieldId="19"/>
    <tableColumn id="20" xr3:uid="{4D8E3D9D-2972-C846-9863-4572A2E4D306}" uniqueName="20" name="Acrob. aspiranten indiv." totalsRowFunction="sum" queryTableFieldId="20"/>
    <tableColumn id="21" xr3:uid="{B5CD6E00-FF3F-104F-A17E-6B67235FD41C}" uniqueName="21" name="Deelname hoofdkorps" totalsRowFunction="custom" queryTableFieldId="21" dataDxfId="109" totalsRowDxfId="131">
      <totalsRowFormula>COUNTIF(KDA_[Deelname hoofdkorps],"x")</totalsRowFormula>
    </tableColumn>
    <tableColumn id="22" xr3:uid="{5096435C-F233-7D4A-B748-F730DD9F351B}" uniqueName="22" name="Groepen, teams, ensembles en duo's" totalsRowFunction="sum" queryTableFieldId="22" totalsRowDxfId="132"/>
    <tableColumn id="23" xr3:uid="{62195266-D426-5745-B8D3-E245300F3BE0}" uniqueName="23" name="Aantal opgegeven majorettes" totalsRowFunction="sum" queryTableFieldId="23" totalsRowDxfId="133"/>
    <tableColumn id="24" xr3:uid="{F7121601-BE50-CB4F-A1C7-7375C05011F0}" uniqueName="24" name="Opgeven bielemannen" totalsRowFunction="sum" queryTableFieldId="24"/>
    <tableColumn id="25" xr3:uid="{D1957922-F7A0-064C-802F-12D1BC5AFDB5}" uniqueName="25" name="Senioren" totalsRowFunction="sum" queryTableFieldId="25" totalsRowDxfId="134"/>
    <tableColumn id="26" xr3:uid="{EFAFB2B1-C1A0-6D45-B9C6-15EF38527E3D}" uniqueName="26" name="Jong Volwassene" totalsRowFunction="sum" queryTableFieldId="26" totalsRowDxfId="135"/>
    <tableColumn id="27" xr3:uid="{40FB9A6B-69EB-FD4F-B26F-39264CBBECA4}" uniqueName="27" name="Junioren" totalsRowFunction="sum" queryTableFieldId="27" totalsRowDxfId="136"/>
    <tableColumn id="28" xr3:uid="{61BF9F4A-E028-1C43-8449-B8904123EF1E}" uniqueName="28" name="Aspiranten" totalsRowFunction="sum" queryTableFieldId="28" totalsRowDxfId="137"/>
    <tableColumn id="29" xr3:uid="{95A7E042-89AC-694E-A035-9A5CB08329D3}" uniqueName="29" name="Deelname marketentsters" totalsRowFunction="custom" queryTableFieldId="29" dataDxfId="108" totalsRowDxfId="138">
      <totalsRowFormula>COUNTIF(KDA_[Deelname marketentsters],"x")</totalsRowFormula>
    </tableColumn>
    <tableColumn id="30" xr3:uid="{A25893E3-3D5A-E248-8CDD-E8311905E3B8}" uniqueName="30" name="Aantal luchtgeweerschutters" totalsRowFunction="sum" queryTableFieldId="30"/>
    <tableColumn id="31" xr3:uid="{B872F7D3-A767-9C41-9222-8F5BFF73E5FA}" uniqueName="31" name="Aantal luchtpistoolschutters" totalsRowFunction="sum" queryTableFieldId="31" totalsRowDxfId="139"/>
    <tableColumn id="32" xr3:uid="{37C7B1F5-C623-0044-96C1-A5F154698575}" uniqueName="32" name="Aantal handboogschutters" totalsRowFunction="sum" queryTableFieldId="32"/>
    <tableColumn id="33" xr3:uid="{CB4DC5ED-24E6-E443-8E01-82F658BC11F3}" uniqueName="33" name="Aantal kruisboogschutters" totalsRowFunction="sum" queryTableFieldId="33" totalsRowDxfId="140"/>
    <tableColumn id="34" xr3:uid="{706CFD2E-8937-8E47-982C-F5877E0DEC1D}" uniqueName="34" name="(Aantal jeugdkorpsen" totalsRowFunction="sum" queryTableFieldId="34"/>
    <tableColumn id="35" xr3:uid="{AE5E7331-FA51-924A-B214-D081EABB665D}" uniqueName="35" name="Totaal aantal deelnemers" totalsRowFunction="sum" queryTableFieldId="35" totalsRowDxfId="141"/>
    <tableColumn id="36" xr3:uid="{14FF9E15-ECF1-024D-9C65-60771F7C75E8}" uniqueName="36" name="Waarvan aantal jeugd (t/m 15 jaar)" totalsRowFunction="sum" queryTableFieldId="36" totalsRowDxfId="142"/>
    <tableColumn id="37" xr3:uid="{2B97FC53-8FA8-4E4F-820C-74CCADF2A3DC}" uniqueName="37" name="Kanon etc." totalsRowFunction="custom" queryTableFieldId="37" dataDxfId="107" totalsRowDxfId="143">
      <totalsRowFormula>COUNTIF(KDA_[Kanon etc.],"x")</totalsRowFormula>
    </tableColumn>
    <tableColumn id="38" xr3:uid="{E2985193-334C-8F43-8AAC-FED4DDE209D2}" uniqueName="38" name="Paarden en/of koetsen" totalsRowFunction="custom" queryTableFieldId="38" dataDxfId="106" totalsRowDxfId="144">
      <totalsRowFormula>COUNTIF(KDA_[Paarden en/of koetsen],"x")</totalsRowFormula>
    </tableColumn>
    <tableColumn id="39" xr3:uid="{FB441331-C77B-AA41-824E-7FCF95AD7FC7}" uniqueName="39" name="Toelichting/opmerkingen" queryTableFieldId="39" dataDxfId="105" totalsRowDxfId="145"/>
    <tableColumn id="40" xr3:uid="{9471909F-6850-8745-B9B1-0C6541548179}" uniqueName="40" name="Inzending-ID" queryTableFieldId="40" dataDxfId="104" totalsRowDxfId="146"/>
    <tableColumn id="41" xr3:uid="{BBAB97B0-18C1-334E-80D9-9335F4EBA8F5}" uniqueName="41" name="Inzenddatum" queryTableFieldId="41" dataDxfId="103" totalsRowDxfId="147"/>
    <tableColumn id="42" xr3:uid="{5912372F-72FE-2B4B-94A9-B9646A4D9EB0}" uniqueName="42" name="Date Updated" queryTableFieldId="42" dataDxfId="102" totalsRowDxfId="148"/>
    <tableColumn id="43" xr3:uid="{565A60F7-D5B6-FB48-9279-944BF2ECD2C5}" uniqueName="43" name="Naam van het hoofdkorps" queryTableFieldId="43" dataDxfId="101" totalsRowDxfId="149"/>
    <tableColumn id="44" xr3:uid="{B3132973-D6F2-8D46-91BD-857F721D059E}" uniqueName="44" name="Zal op treden als (hoofdkorps)" queryTableFieldId="44" dataDxfId="100" totalsRowDxfId="150"/>
    <tableColumn id="45" xr3:uid="{56381B2C-A195-F442-9299-0199FB4D9567}" uniqueName="45" name="Vorm van twee muziekwerken (hoofdkorps)" queryTableFieldId="45" dataDxfId="99" totalsRowDxfId="151"/>
    <tableColumn id="46" xr3:uid="{09BD8D2E-6405-DF40-AC91-8BF0284B9A7F}" uniqueName="46" name="Zal uitkomen in de: (hoofdkorps)" queryTableFieldId="46" dataDxfId="98" totalsRowDxfId="152"/>
    <tableColumn id="67" xr3:uid="{879F1B8B-1F57-B643-B532-72791668DBE5}" uniqueName="67" name="Muziekwerk1 (hoofdkorps)" queryTableFieldId="67" dataDxfId="97" totalsRowDxfId="153"/>
    <tableColumn id="68" xr3:uid="{003D1664-4D99-C94E-8E22-6ED815B00C1B}" uniqueName="68" name="Muziekwerk2 (hoofdkorps)" queryTableFieldId="68" dataDxfId="96" totalsRowDxfId="154"/>
    <tableColumn id="69" xr3:uid="{8037AEA6-7651-0940-ADBA-3E35F955CAA6}" uniqueName="69" name="Korps bestaat uit ... deelnemers (hoofdkorps)" totalsRowFunction="sum" queryTableFieldId="69" totalsRowDxfId="155"/>
    <tableColumn id="70" xr3:uid="{87ABC2FA-75E7-FE49-B70B-6DA812E682A3}" uniqueName="70" name="Wordt er gebruik gemaakt van mechanische muziek?" queryTableFieldId="70" dataDxfId="95"/>
    <tableColumn id="71" xr3:uid="{550AA63C-7137-3643-85CC-F1834331F2F4}" uniqueName="71" name="Onderdelen" queryTableFieldId="71" dataDxfId="94" totalsRowDxfId="156"/>
    <tableColumn id="72" xr3:uid="{A7813487-AA6B-1241-B3B8-4566059457DB}" uniqueName="72" name="Secties" queryTableFieldId="72" dataDxfId="93" totalsRowDxfId="157"/>
    <tableColumn id="73" xr3:uid="{67B81B3B-ECA7-C344-ABF8-28C15FAD2D28}" uniqueName="73" name="Leeftijdscategorie" queryTableFieldId="73" dataDxfId="92" totalsRowDxfId="15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8B779F-4064-423E-8082-2381B0C548D1}" name="LJ" displayName="LJ" ref="A6:BW7" totalsRowShown="0" headerRowDxfId="427">
  <autoFilter ref="A6:BW7" xr:uid="{4F8B779F-4064-423E-8082-2381B0C548D1}"/>
  <tableColumns count="75">
    <tableColumn id="1" xr3:uid="{5FE8EE3F-AD35-48A6-85F6-BDFB105B0725}" name="Kringdag" dataDxfId="426"/>
    <tableColumn id="2" xr3:uid="{9BCFCC0D-6A6A-4A94-8347-6671F120F3AC}" name="Ver.nr" dataDxfId="425"/>
    <tableColumn id="3" xr3:uid="{19B2C186-27FD-419C-B197-8025BF5CFE71}" name="Naam vereniging" dataDxfId="424"/>
    <tableColumn id="4" xr3:uid="{D3334820-466D-4BDD-B965-0B7E193F3233}" name="Delegatie" dataDxfId="423"/>
    <tableColumn id="5" xr3:uid="{46317316-8382-49B2-BA5D-6FEDF3FD7884}" name="Muziekkorps bij mars en defilé" dataDxfId="422"/>
    <tableColumn id="6" xr3:uid="{13D83B93-BCD1-4CD4-9C3F-433F446A5723}" name="Deeln. jeugdkoningschieten" dataDxfId="421"/>
    <tableColumn id="7" xr3:uid="{89928C9B-C271-4E70-965C-A19CB2581977}" name="Maj. Senioren jureren bij mars" dataDxfId="420"/>
    <tableColumn id="8" xr3:uid="{02A99D9F-6464-4218-A98E-811C81615D5C}" name="Maj. Jeugd jureren bij mars" dataDxfId="419"/>
    <tableColumn id="9" xr3:uid="{CAD36238-5F96-47BD-B57F-DD6532718290}" name="Korps senioren" dataDxfId="418"/>
    <tableColumn id="10" xr3:uid="{E85CFA93-54A2-4E31-85FE-7FEFD8641F8E}" name="Junioren korps 1"/>
    <tableColumn id="11" xr3:uid="{C6BACE44-D4CB-4215-A3C3-539AAB5FB41C}" name="Junioren korps 2"/>
    <tableColumn id="26" xr3:uid="{629685E4-7852-4956-97AC-86BF9C7AC0F9}" name="Aspiranten korps 1"/>
    <tableColumn id="30" xr3:uid="{F8BDC429-9CDD-4125-AD5F-52CD2851CBA4}" name="Aspiranten korps 2"/>
    <tableColumn id="12" xr3:uid="{0671084D-0D3B-4D86-86A9-2FCF796FF887}" name="Acrobatisch senioren" dataDxfId="417"/>
    <tableColumn id="13" xr3:uid="{652975E7-D8A2-418E-9E7D-70CF9AC7B67B}" name="Acrobatisch junioren" dataDxfId="416"/>
    <tableColumn id="14" xr3:uid="{7D143A4D-59D1-43DC-9801-318329105B70}" name="Acrobatisch aspiranten" dataDxfId="415"/>
    <tableColumn id="15" xr3:uid="{22E52461-0B78-4950-B7A2-9190EC07FB64}" name="Show senioren" dataDxfId="414"/>
    <tableColumn id="16" xr3:uid="{164C10B7-0CCB-4FBA-9EDF-36DD8C3E8585}" name="Show junioren" dataDxfId="413"/>
    <tableColumn id="17" xr3:uid="{7F98B6E0-7F7C-4A4D-BEF0-395CC5476215}" name="Show aspiranten" dataDxfId="412"/>
    <tableColumn id="18" xr3:uid="{25275654-3B66-4EC8-A412-DF64E362810F}" name="Senioren indiv." dataDxfId="411"/>
    <tableColumn id="19" xr3:uid="{E061961B-1A71-4111-B704-2167D4FDCA04}" name="Junioren indiv." dataDxfId="410"/>
    <tableColumn id="20" xr3:uid="{7986702B-614E-495B-88C8-CC1A210170CF}" name="Aspiranten indiv." dataDxfId="409"/>
    <tableColumn id="21" xr3:uid="{A5461B4C-B2D1-498B-A848-42A3BC7A8BC4}" name="Sen. ind opgegeven namen" dataDxfId="408"/>
    <tableColumn id="22" xr3:uid="{BEE788A5-74B3-4FB3-907A-7BF2432D6207}" name="Jun. ind opgegeven namen" dataDxfId="407"/>
    <tableColumn id="23" xr3:uid="{8E05A72F-E53E-401A-8B0B-592CC8CBB173}" name="Asp. ind opgegeven namen" dataDxfId="406"/>
    <tableColumn id="24" xr3:uid="{D7485158-293F-4E3D-98D2-CF55D58B12AF}" name="Hoofdkorps" dataDxfId="405"/>
    <tableColumn id="25" xr3:uid="{AB010968-2E7B-460C-8993-AC1D70D3BD4E}" name="2e korps" dataDxfId="404"/>
    <tableColumn id="31" xr3:uid="{34744077-C62E-48CE-9727-2B1CD76BEDBC}" name="Groepen, teams, ensembles en duo's"/>
    <tableColumn id="27" xr3:uid="{599500F2-464C-4024-AAAB-8143C92D5AA7}" name="Senioren" dataDxfId="403"/>
    <tableColumn id="32" xr3:uid="{AAC23FE4-6A55-4F3F-B5DA-621F4A965531}" name="Jong volwassene"/>
    <tableColumn id="28" xr3:uid="{A995C14A-D6B8-4E52-B230-85D46C534476}" name="Junioren" dataDxfId="402"/>
    <tableColumn id="29" xr3:uid="{210EE2AB-E41F-4188-A61F-76AB62A874A5}" name="Aspiranten" dataDxfId="401"/>
    <tableColumn id="38" xr3:uid="{ED65980F-756D-4E2B-9049-AA3434C09965}" name="Opgegeven senioren"/>
    <tableColumn id="39" xr3:uid="{85A913A2-DB2D-473D-B40F-376E74A1C01D}" name="Opgegeven jong volwassene"/>
    <tableColumn id="66" xr3:uid="{6F5192E5-1B91-4B51-9EA0-7453F4B7B17A}" name="Opgegeven junioren"/>
    <tableColumn id="67" xr3:uid="{95B815EB-3996-4F6E-AD75-4CDFD93F7051}" name="Opgegeven aspiranten"/>
    <tableColumn id="33" xr3:uid="{21ED27EA-920A-476C-A987-C886705272C8}" name="Marketentsters" dataDxfId="400"/>
    <tableColumn id="34" xr3:uid="{A3734509-3769-4BF8-B534-139916BF52A0}" name="Luchtgeweer" dataDxfId="399"/>
    <tableColumn id="68" xr3:uid="{F3C084A4-77EF-4E7A-9A92-9EA8703884F5}" name="Aantal luchtgeweerschutters"/>
    <tableColumn id="35" xr3:uid="{1ED86575-D359-4926-BEF3-9C7AE94C3A86}" name="Luchtpistool" dataDxfId="398"/>
    <tableColumn id="69" xr3:uid="{2DEBD8E0-C520-46B4-9BA0-A78BFAF216BA}" name="Aantal luchtpistoolschutters"/>
    <tableColumn id="37" xr3:uid="{067FF6A5-1097-446D-83C7-E12AC30F6D58}" name="Handboog" dataDxfId="397"/>
    <tableColumn id="70" xr3:uid="{63E98E26-99A4-4F5F-A89F-13E5EB533A70}" name="Aantal handboogschutters"/>
    <tableColumn id="36" xr3:uid="{02F8BD9B-9513-4067-B58F-BCD37B8D4FA4}" name="Kruisboog" dataDxfId="396"/>
    <tableColumn id="71" xr3:uid="{EEFF6F95-61D3-4BBB-B11E-D55A71246670}" name="Aantal kruisboogschutters"/>
    <tableColumn id="72" xr3:uid="{B34522E3-4006-454F-B02C-47071B21675C}" name="Luchtgeweer jeugd niet ouder dan 17 jaar." dataDxfId="395"/>
    <tableColumn id="73" xr3:uid="{813B1FCC-A6C1-4D1E-9342-C3F8FDE217C5}" name="Aantal korpsen"/>
    <tableColumn id="74" xr3:uid="{A5007B21-DE97-42AC-9201-C89E60AAADA0}" name="Opgegeven jeugdkorpsen LG"/>
    <tableColumn id="40" xr3:uid="{D1DF0CC4-6AFA-4F26-94E7-B3FEE75658C3}" name="Totaal aantal deelnemers" dataDxfId="394"/>
    <tableColumn id="41" xr3:uid="{DDE8DCDB-5F0F-41D4-9355-EDE72098650B}" name="Waarvan aantal jeugd (t/m 15 jaar)" dataDxfId="393"/>
    <tableColumn id="42" xr3:uid="{4AD23B45-1194-4899-8A72-51863633B198}" name="Kanon etc." dataDxfId="392"/>
    <tableColumn id="43" xr3:uid="{0D9B4516-9153-4C8A-A67A-D8C61F99DC5C}" name="Paarden en/of koetsen" dataDxfId="391"/>
    <tableColumn id="44" xr3:uid="{70404585-6E1E-4735-9635-0D99B20FBC26}" name="Toelichting/opmerkingen" dataDxfId="390"/>
    <tableColumn id="45" xr3:uid="{93E5C4CD-053E-41C7-AD4F-D627752F5406}" name="Inzending-ID" dataDxfId="389"/>
    <tableColumn id="46" xr3:uid="{28BA3F0A-7B5B-4370-BB77-C1D614B0BA57}" name="Inzenddatum" dataDxfId="388"/>
    <tableColumn id="75" xr3:uid="{28473866-4557-4C5B-984A-95416A587C6E}" name="Date Updated" dataDxfId="387"/>
    <tableColumn id="47" xr3:uid="{8BAA550D-B5A2-4704-807E-D080519E7C8E}" name="Naam van het hoofdkorps" dataDxfId="386"/>
    <tableColumn id="48" xr3:uid="{4C0B3A23-738E-48D6-B7A1-DB4B66FC7108}" name="Zal op treden als (hoofdkorps)" dataDxfId="385"/>
    <tableColumn id="49" xr3:uid="{978EBC24-9211-4AD4-BA5E-892076319ACD}" name="Vorm van twee muziekwerken (hoofdkorps)" dataDxfId="384"/>
    <tableColumn id="50" xr3:uid="{5876098D-128A-4F2B-9BDD-05D45807EBB2}" name="Zal uitkomen in de: (hoofdkorps)" dataDxfId="383"/>
    <tableColumn id="51" xr3:uid="{05A18B09-3195-4A36-B169-BFC361010AF9}" name="Muziekwerk1 (hoofdkorps)" dataDxfId="382"/>
    <tableColumn id="52" xr3:uid="{080589DF-D751-4E72-A1FF-D1499E799DFF}" name="Muziekwerk2 (hoofdkorps)" dataDxfId="381"/>
    <tableColumn id="53" xr3:uid="{DBA6CB2B-424D-42B2-AEE2-173CFFC390B3}" name="Korps bestaat uit ... deelnemers (hoofdkorps)" dataDxfId="380"/>
    <tableColumn id="54" xr3:uid="{0193C038-31CC-4C3D-B86C-79F592AFB69F}" name="Naam van het 2e korps" dataDxfId="379"/>
    <tableColumn id="55" xr3:uid="{BF390BAF-759F-46A2-B089-A26594BD5AE3}" name="Zal op treden als (2e korps)" dataDxfId="378"/>
    <tableColumn id="56" xr3:uid="{14E841BE-A956-401D-8BCB-786DD5C94AB2}" name="Vorm van twee muziekwerken (2e korps)" dataDxfId="377"/>
    <tableColumn id="57" xr3:uid="{6B38B763-EDC5-43F3-B366-D91005BD8A10}" name="Zal uitkomen in de: (2e korps)" dataDxfId="376"/>
    <tableColumn id="58" xr3:uid="{C7F25D80-94FE-4E9D-97DB-72DBE154F97B}" name="Muziekwerk1 (2e korps)" dataDxfId="375"/>
    <tableColumn id="59" xr3:uid="{ED2D53AE-F005-432E-AE06-D5BCC146DE7B}" name="Muziekwerk2 (2e korps)" dataDxfId="374"/>
    <tableColumn id="60" xr3:uid="{58169E12-99B5-492C-8129-4C808E23FA7B}" name="Korps bestaat uit ... deelnemers (2e korps)" dataDxfId="373"/>
    <tableColumn id="64" xr3:uid="{4D6655B8-62D6-4EAB-A7FB-A89BE3494370}" name="Mechanische muziek" dataDxfId="372"/>
    <tableColumn id="61" xr3:uid="{A2F2496B-A903-498D-AFCA-BABB37C97D6C}" name="Onderdelen" dataDxfId="371"/>
    <tableColumn id="62" xr3:uid="{10DCF5A1-FD69-4824-9AC7-CD0F873384CD}" name="Secties" dataDxfId="370"/>
    <tableColumn id="63" xr3:uid="{489834DB-73B0-4029-AA2F-15D1970AC822}" name="Leeftijdscategorie" dataDxfId="369"/>
    <tableColumn id="65" xr3:uid="{BAC977F7-6EBE-47F3-A368-FEF310D3AC6C}" name="Aantal opgegeven majorettes" dataDxfId="36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BE24FE-77E5-4EA1-8B0F-4712CD50A33E}" name="FSD" displayName="FSD" ref="A6:BA43" tableType="queryTable" totalsRowCount="1" headerRowDxfId="367" totalsRowDxfId="366" headerRowCellStyle="Goed">
  <autoFilter ref="A6:BA42" xr:uid="{73BE24FE-77E5-4EA1-8B0F-4712CD50A33E}"/>
  <tableColumns count="53">
    <tableColumn id="1" xr3:uid="{230D35B1-318E-4FC7-8CFE-CB72561A7C78}" uniqueName="1" name="Kringdag" totalsRowLabel="Totaal" queryTableFieldId="1"/>
    <tableColumn id="2" xr3:uid="{AD474DAC-790B-3847-9B57-F5955DFF739F}" uniqueName="2" name="Ver.nr." queryTableFieldId="114" dataDxfId="50"/>
    <tableColumn id="3" xr3:uid="{A1938DE9-F00D-4BA8-8A5F-EE6F77AD45DA}" uniqueName="3" name="Naam vereniging" totalsRowFunction="count" queryTableFieldId="3"/>
    <tableColumn id="4" xr3:uid="{8445C7DB-35BB-43B8-8DFD-7447E65AEC62}" uniqueName="4" name="Delegatie" totalsRowFunction="custom" queryTableFieldId="4" dataDxfId="49" totalsRowDxfId="51">
      <totalsRowFormula>COUNTIF(FSD[Delegatie],"x")</totalsRowFormula>
    </tableColumn>
    <tableColumn id="5" xr3:uid="{B4122B33-29F3-BC4D-9656-9FAFDD0B4E46}" uniqueName="5" name="Muziekkorps tijdens mars en defilé" totalsRowFunction="custom" queryTableFieldId="115" totalsRowDxfId="52">
      <totalsRowFormula>COUNTIF(FSD[Muziekkorps tijdens mars en defilé],"x")</totalsRowFormula>
    </tableColumn>
    <tableColumn id="6" xr3:uid="{9947508B-2FE2-C14D-AAD6-52ACD1A90FC6}" uniqueName="6" name="Deelname jeugdkoningschieten" totalsRowFunction="custom" queryTableFieldId="116" totalsRowDxfId="53">
      <totalsRowFormula>COUNTIF(FSD[Deelname jeugdkoningschieten],"x")</totalsRowFormula>
    </tableColumn>
    <tableColumn id="7" xr3:uid="{FFA6CD71-9DBE-4EB0-AEE3-60F267D05DF9}" uniqueName="7" name="Maj. Senioren jureren bij mars" totalsRowFunction="custom" queryTableFieldId="7" dataDxfId="48" totalsRowDxfId="54">
      <totalsRowFormula>COUNTIF(FSD[Maj. Senioren jureren bij mars],"x")</totalsRowFormula>
    </tableColumn>
    <tableColumn id="8" xr3:uid="{322A5420-10BF-47E2-9B31-CA992EDA8F66}" uniqueName="8" name="Maj. Jeugd jureren bij mars" totalsRowFunction="custom" queryTableFieldId="8" dataDxfId="47" totalsRowDxfId="55">
      <totalsRowFormula>COUNTIF(FSD[Maj. Jeugd jureren bij mars],"x")</totalsRowFormula>
    </tableColumn>
    <tableColumn id="9" xr3:uid="{D68C2110-07D1-4FBE-AA9F-E4CC6B7C3081}" uniqueName="9" name="Korps senioren" totalsRowFunction="sum" queryTableFieldId="9" dataDxfId="46" totalsRowDxfId="56"/>
    <tableColumn id="10" xr3:uid="{0E9FDA67-0BA2-440B-862C-AA13736A58A1}" uniqueName="10" name="Junioren korps 1" totalsRowFunction="sum" queryTableFieldId="106" totalsRowDxfId="57"/>
    <tableColumn id="11" xr3:uid="{F1D8E8E6-F687-49A4-9578-08E116AFF37A}" uniqueName="11" name="Junioren korps 2" totalsRowFunction="sum" queryTableFieldId="107" totalsRowDxfId="58"/>
    <tableColumn id="26" xr3:uid="{F2C10C82-BF45-4F2D-9F7A-DEBF4CCE992A}" uniqueName="26" name="Aspiranten korps 1" totalsRowFunction="sum" queryTableFieldId="108" totalsRowDxfId="59"/>
    <tableColumn id="30" xr3:uid="{FCCB5B66-5964-450C-BBFA-4BA2596DC701}" uniqueName="30" name="Aspiranten korps 2" totalsRowFunction="sum" queryTableFieldId="109" totalsRowDxfId="60"/>
    <tableColumn id="12" xr3:uid="{C04A0F2F-F380-4FEF-A0BC-8F43D2154B1F}" uniqueName="12" name="Acrobatisch senioren" totalsRowFunction="sum" queryTableFieldId="12" dataDxfId="45" totalsRowDxfId="61"/>
    <tableColumn id="13" xr3:uid="{04F2402D-62D5-4A1D-96B1-681E01E2DFEA}" uniqueName="13" name="Acrobatisch junioren" totalsRowFunction="sum" queryTableFieldId="13" dataDxfId="44" totalsRowDxfId="62"/>
    <tableColumn id="14" xr3:uid="{B577E129-427F-4CFB-B068-049EF4DE88AA}" uniqueName="14" name="Acrobatisch aspiranten" totalsRowFunction="sum" queryTableFieldId="14" dataDxfId="43" totalsRowDxfId="63"/>
    <tableColumn id="15" xr3:uid="{9FB3C53E-0253-3F45-9933-4B967C41D339}" uniqueName="15" name="Opgeven vendeliers ind." totalsRowFunction="sum" queryTableFieldId="117"/>
    <tableColumn id="16" xr3:uid="{F92FAD8B-6D1A-194C-8CED-E41816C6CB8E}" uniqueName="16" name="Acrob. senioren indiv." totalsRowFunction="sum" queryTableFieldId="118"/>
    <tableColumn id="17" xr3:uid="{0B102C2F-AD25-3C43-9376-BF13C6256626}" uniqueName="17" name="Acrob. junioren indiv." totalsRowFunction="sum" queryTableFieldId="119"/>
    <tableColumn id="18" xr3:uid="{3B544119-2684-8D4B-8C40-AB6877A08D91}" uniqueName="18" name="Acrob. aspiranten indiv." totalsRowFunction="sum" queryTableFieldId="120"/>
    <tableColumn id="19" xr3:uid="{C4A0873A-81B2-E94B-9693-D387C05C416E}" uniqueName="19" name="Deelname hoofdkorps" totalsRowFunction="custom" queryTableFieldId="121" totalsRowDxfId="64">
      <totalsRowFormula>COUNTIF(FSD[Deelname hoofdkorps],"x")</totalsRowFormula>
    </tableColumn>
    <tableColumn id="31" xr3:uid="{C6B6683E-5C96-41A9-B01B-566544560117}" uniqueName="31" name="Groepen, teams, ensembles en duo's" totalsRowFunction="sum" queryTableFieldId="74" totalsRowDxfId="65"/>
    <tableColumn id="70" xr3:uid="{306F10D5-06E3-4B62-BCA3-911F4788FCB0}" uniqueName="70" name="Aantal opgegeven majorettes" totalsRowFunction="sum" queryTableFieldId="70" dataDxfId="42" totalsRowDxfId="66"/>
    <tableColumn id="20" xr3:uid="{F246734C-026F-D446-A60A-6AAB658430B5}" uniqueName="20" name="Opgeven bielemannen" totalsRowFunction="sum" queryTableFieldId="122"/>
    <tableColumn id="27" xr3:uid="{E6390A79-1F93-4025-9782-192BF3044E75}" uniqueName="27" name="Senioren" totalsRowFunction="sum" queryTableFieldId="27" dataDxfId="41" totalsRowDxfId="67"/>
    <tableColumn id="32" xr3:uid="{47F07FDD-ACC0-47B9-B47E-BE6237E27AC1}" uniqueName="32" name="Jong Volwassene" totalsRowFunction="sum" queryTableFieldId="75" totalsRowDxfId="68"/>
    <tableColumn id="28" xr3:uid="{95FC90F7-6D74-41B8-BE65-1833DDE14332}" uniqueName="28" name="Junioren" totalsRowFunction="sum" queryTableFieldId="28" dataDxfId="40" totalsRowDxfId="69"/>
    <tableColumn id="29" xr3:uid="{5360D20E-C4EF-427A-B9FC-486AFA38F7BE}" uniqueName="29" name="Aspiranten" totalsRowFunction="sum" queryTableFieldId="29" dataDxfId="39" totalsRowDxfId="70"/>
    <tableColumn id="21" xr3:uid="{D657FABB-3CD3-D848-A6D4-6C3029EB4E22}" uniqueName="21" name="Deelname marketentsters" totalsRowFunction="custom" queryTableFieldId="123" totalsRowDxfId="71">
      <totalsRowFormula>COUNTIF(FSD[Deelname marketentsters],"x")</totalsRowFormula>
    </tableColumn>
    <tableColumn id="42" xr3:uid="{FEA14974-141D-4214-9AD9-CDA825A0E3E5}" uniqueName="42" name="Aantal luchtgeweerschutters" totalsRowFunction="sum" queryTableFieldId="80" dataDxfId="38"/>
    <tableColumn id="43" xr3:uid="{128AC803-FF09-4C99-9BFD-05E8090ADB1F}" uniqueName="43" name="Aantal luchtpistoolschutters" totalsRowFunction="sum" queryTableFieldId="81" dataDxfId="37" totalsRowDxfId="72"/>
    <tableColumn id="44" xr3:uid="{761688DF-91FF-486E-BDCE-FF3E5AA8ACCE}" uniqueName="44" name="Aantal handboogschutters" totalsRowFunction="sum" queryTableFieldId="82" dataDxfId="36"/>
    <tableColumn id="71" xr3:uid="{2C9358B9-7475-489E-9694-B3B4C97B0B32}" uniqueName="71" name="Aantal kruisboogschutters" totalsRowFunction="sum" queryTableFieldId="83" dataDxfId="35" totalsRowDxfId="73"/>
    <tableColumn id="22" xr3:uid="{EDB1D253-B08F-924E-B593-DBDF10DE39BE}" uniqueName="22" name="(Aantal jeugdkorpsen" totalsRowFunction="sum" queryTableFieldId="124"/>
    <tableColumn id="45" xr3:uid="{3DDEB7CD-1ACF-477A-850B-DC26C9544089}" uniqueName="45" name="Totaal aantal deelnemers" totalsRowFunction="sum" queryTableFieldId="45" dataDxfId="34" totalsRowDxfId="74"/>
    <tableColumn id="46" xr3:uid="{03BCDF0D-E655-4FDC-9FDF-714C72EF21E0}" uniqueName="46" name="Waarvan aantal jeugd (t/m 15 jaar)" totalsRowFunction="sum" queryTableFieldId="46" dataDxfId="33" totalsRowDxfId="75"/>
    <tableColumn id="47" xr3:uid="{1848C3AC-DA5D-414D-86CC-5716528A6449}" uniqueName="47" name="Kanon etc." totalsRowFunction="custom" queryTableFieldId="47" dataDxfId="32" totalsRowDxfId="76">
      <totalsRowFormula>COUNTIF(FSD[Kanon etc.],"x")</totalsRowFormula>
    </tableColumn>
    <tableColumn id="48" xr3:uid="{9536F103-194A-4528-8CF5-42BD315ACC0E}" uniqueName="48" name="Paarden en/of koetsen" totalsRowFunction="custom" queryTableFieldId="48" dataDxfId="31" totalsRowDxfId="77">
      <totalsRowFormula>COUNTIF(FSD[Paarden en/of koetsen],"x")</totalsRowFormula>
    </tableColumn>
    <tableColumn id="49" xr3:uid="{D69853E1-38FA-4FFD-BCDE-760AAEFA4E6D}" uniqueName="49" name="Toelichting/opmerkingen" queryTableFieldId="49" dataDxfId="30" totalsRowDxfId="78"/>
    <tableColumn id="50" xr3:uid="{2D4D71CB-4C44-4624-B6A1-CA83504691E4}" uniqueName="50" name="Inzending-ID" queryTableFieldId="50" dataDxfId="29" totalsRowDxfId="79"/>
    <tableColumn id="51" xr3:uid="{F8FC0A29-19D2-441E-ABBC-6C9448E2F8E5}" uniqueName="51" name="Inzenddatum" queryTableFieldId="51" dataDxfId="28" totalsRowDxfId="80"/>
    <tableColumn id="75" xr3:uid="{DF430BCF-06A0-4909-886A-ED7C3675C9B4}" uniqueName="75" name="Date Updated" queryTableFieldId="87" dataDxfId="27" totalsRowDxfId="81"/>
    <tableColumn id="52" xr3:uid="{A17B95BB-AE23-4602-86E4-E4B69AC172FE}" uniqueName="52" name="Naam van het hoofdkorps" queryTableFieldId="52" dataDxfId="26" totalsRowDxfId="82"/>
    <tableColumn id="53" xr3:uid="{E2FBE64E-F279-4D1C-A0C3-67A6E2083C70}" uniqueName="53" name="Zal op treden als (hoofdkorps)" queryTableFieldId="53" dataDxfId="25" totalsRowDxfId="83"/>
    <tableColumn id="54" xr3:uid="{7E0FF81D-4AE6-429F-A3B8-FDB29CD17EAD}" uniqueName="54" name="Vorm van twee muziekwerken (hoofdkorps)" queryTableFieldId="54" dataDxfId="24" totalsRowDxfId="84"/>
    <tableColumn id="55" xr3:uid="{DDAF515F-C3A4-46D2-9641-5618C7145E94}" uniqueName="55" name="Zal uitkomen in de: (hoofdkorps)" queryTableFieldId="55" dataDxfId="23" totalsRowDxfId="85"/>
    <tableColumn id="56" xr3:uid="{9B712097-685D-41FF-BDCD-B39B0DAEDE68}" uniqueName="56" name="Muziekwerk1 (hoofdkorps)" queryTableFieldId="56" dataDxfId="22" totalsRowDxfId="86"/>
    <tableColumn id="57" xr3:uid="{DCE8685F-7B4B-40B8-B019-8DFBBE97A1A7}" uniqueName="57" name="Muziekwerk2 (hoofdkorps)" queryTableFieldId="57" dataDxfId="21" totalsRowDxfId="87"/>
    <tableColumn id="58" xr3:uid="{E2D403CC-64F0-40C2-BC6C-3633185356EF}" uniqueName="58" name="Korps bestaat uit ... deelnemers (hoofdkorps)" totalsRowFunction="sum" queryTableFieldId="58" dataDxfId="20" totalsRowDxfId="88"/>
    <tableColumn id="23" xr3:uid="{70BD7402-9568-E342-8AEF-DA0C518CA4B4}" uniqueName="23" name="Wordt er gebruik gemaakt van mechanische muziek?" queryTableFieldId="125"/>
    <tableColumn id="66" xr3:uid="{CA4F0955-5464-46EE-BEA9-38CE7800D2EC}" uniqueName="66" name="Onderdelen" queryTableFieldId="66" dataDxfId="19" totalsRowDxfId="89"/>
    <tableColumn id="67" xr3:uid="{3F1F53B8-F781-401E-82C8-90031468BF1B}" uniqueName="67" name="Secties" queryTableFieldId="67" dataDxfId="18" totalsRowDxfId="90"/>
    <tableColumn id="68" xr3:uid="{D58A6DB8-6A15-4F87-AC46-684B07791844}" uniqueName="68" name="Leeftijdscategorie" queryTableFieldId="68" dataDxfId="17" totalsRowDxfId="91"/>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296358-BD0A-2548-8CD0-0F3EB2F371FA}" name="GKVI" displayName="GKVI" ref="A6:T39" tableType="queryTable" totalsRowCount="1" headerRowDxfId="365" headerRowCellStyle="Standaard 2">
  <autoFilter ref="A6:T38" xr:uid="{80296358-BD0A-2548-8CD0-0F3EB2F371FA}"/>
  <tableColumns count="20">
    <tableColumn id="1" xr3:uid="{CAB0F7BF-DD3C-574E-9EFD-1395DB378952}" uniqueName="1" name="Inzending-ID" totalsRowLabel="Totaal" queryTableFieldId="1"/>
    <tableColumn id="102" xr3:uid="{AF4CBE9A-929A-6D4B-8810-B6A58ECA339C}" uniqueName="102" name="Inzenddatum" queryTableFieldId="102" dataDxfId="16"/>
    <tableColumn id="2" xr3:uid="{514E1936-3658-F647-B9BB-1EBF2043A08F}" uniqueName="2" name="GKVI" queryTableFieldId="2" dataDxfId="15"/>
    <tableColumn id="4" xr3:uid="{186B5F09-B28F-204A-9D00-E34E7C10285E}" uniqueName="4" name="Verenigingsnummer" queryTableFieldId="4" dataDxfId="14"/>
    <tableColumn id="5" xr3:uid="{DE78238A-E945-E641-8428-00DF25B86411}" uniqueName="5" name="Naam vereniging" totalsRowFunction="count" queryTableFieldId="5" dataDxfId="13"/>
    <tableColumn id="89" xr3:uid="{FF174135-2E24-FF48-8ECA-39936694BB30}" uniqueName="89" name="Korps klassiek senioren" totalsRowFunction="sum" queryTableFieldId="89"/>
    <tableColumn id="90" xr3:uid="{E0E87A3F-F0EC-AF41-BE97-E723A98D94FC}" uniqueName="90" name="Korps 1 klassiek junioren" totalsRowFunction="sum" queryTableFieldId="90"/>
    <tableColumn id="91" xr3:uid="{76BE0708-7844-0D42-93ED-F449F78A4CC9}" uniqueName="91" name="Korps 2 klassiek junioren" totalsRowFunction="sum" queryTableFieldId="91"/>
    <tableColumn id="92" xr3:uid="{74449515-E657-7149-A18C-D83AE22647FF}" uniqueName="92" name="Korps 1 klassiek aspiranten" totalsRowFunction="sum" queryTableFieldId="92"/>
    <tableColumn id="93" xr3:uid="{B5315752-004F-944F-9A3B-04DEAE3027EC}" uniqueName="93" name="Korps 2 klassiek aspiranten" totalsRowFunction="sum" queryTableFieldId="93"/>
    <tableColumn id="94" xr3:uid="{F4D13990-003C-4347-BD97-8E218345CE8E}" uniqueName="94" name="Korps acrob. senioren" totalsRowFunction="sum" queryTableFieldId="94"/>
    <tableColumn id="95" xr3:uid="{181A6129-D370-2F48-84A2-05E7B45235D2}" uniqueName="95" name="Korps acrob. junioren" totalsRowFunction="sum" queryTableFieldId="95"/>
    <tableColumn id="96" xr3:uid="{33130EDC-5DD4-0D45-BCA7-8774546BD6B5}" uniqueName="96" name="Korps acrob. aspiranten" totalsRowFunction="sum" queryTableFieldId="96"/>
    <tableColumn id="97" xr3:uid="{F60065D0-C0AB-254E-A746-58CBE2F7F207}" uniqueName="97" name="Acrob. senioren indiv." totalsRowFunction="sum" queryTableFieldId="97"/>
    <tableColumn id="98" xr3:uid="{B36C6251-88D8-F243-83B1-4F57355C8410}" uniqueName="98" name="Acrob. junioren indiv." totalsRowFunction="sum" queryTableFieldId="98"/>
    <tableColumn id="99" xr3:uid="{BECA0A40-3136-634B-9526-6F1483FB4901}" uniqueName="99" name="Acrob. aspiranten indiv." totalsRowFunction="sum" queryTableFieldId="99"/>
    <tableColumn id="100" xr3:uid="{E1599B97-1727-BC43-A597-55D4EF9E7D3F}" uniqueName="100" name="Aantal deelnemers" totalsRowFunction="sum" queryTableFieldId="100"/>
    <tableColumn id="101" xr3:uid="{2E250411-C593-5847-9D9F-815CE5CD2612}" uniqueName="101" name="Hiervan is aspirant" queryTableFieldId="101"/>
    <tableColumn id="103" xr3:uid="{A1BCD839-724C-AE4A-A858-19F55BE8786B}" uniqueName="103" name="Opmerkingen" queryTableFieldId="103" dataDxfId="12"/>
    <tableColumn id="104" xr3:uid="{BF3E1BA2-5AD0-3449-986F-E026AA93C587}" uniqueName="104" name="Date Updated" queryTableFieldId="104" dataDxfId="11"/>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D92841-27A3-5641-A527-6B9D6BA8F364}" name="Bielemantreffen" displayName="Bielemantreffen" ref="A5:K27" tableType="queryTable" totalsRowCount="1">
  <autoFilter ref="A5:K26" xr:uid="{F1D92841-27A3-5641-A527-6B9D6BA8F364}"/>
  <tableColumns count="11">
    <tableColumn id="303" xr3:uid="{A94972F1-2815-344C-B319-E86D14FF2709}" uniqueName="303" name="BIEL" totalsRowLabel="Totaal" queryTableFieldId="303" dataDxfId="10"/>
    <tableColumn id="60" xr3:uid="{137EEC73-1F58-F940-88A6-83DE969EFB55}" uniqueName="60" name="Verenigingsnummer" queryTableFieldId="539" dataDxfId="9"/>
    <tableColumn id="305" xr3:uid="{EF587655-6137-914D-8DF2-DF7D61C96AD6}" uniqueName="305" name="Naam vereniging" totalsRowFunction="count" queryTableFieldId="305" dataDxfId="8"/>
    <tableColumn id="56" xr3:uid="{C24D88B7-F93A-B245-9315-921B4417C8D9}" uniqueName="56" name="Senioren" totalsRowFunction="sum" queryTableFieldId="524" dataDxfId="7"/>
    <tableColumn id="59" xr3:uid="{BB264121-54D0-AA40-9AAD-AF677DC62E28}" uniqueName="59" name="Jong Volwassene" totalsRowFunction="sum" queryTableFieldId="527" dataDxfId="6"/>
    <tableColumn id="57" xr3:uid="{B24BFEE6-D536-6F4C-BF0C-E2640F564E68}" uniqueName="57" name="Junioren" totalsRowFunction="sum" queryTableFieldId="525" dataDxfId="5"/>
    <tableColumn id="58" xr3:uid="{911E21B5-975B-6648-A9C2-D9FF4A132901}" uniqueName="58" name="Aspiranten" totalsRowFunction="sum" queryTableFieldId="526" dataDxfId="4"/>
    <tableColumn id="461" xr3:uid="{EC34EAC4-8D29-544B-A48D-CC21F916D8F8}" uniqueName="461" name="Opmerkingen/toelichting" queryTableFieldId="461" dataDxfId="3"/>
    <tableColumn id="301" xr3:uid="{71CF2666-9A3D-374F-84AF-5FA753C27E48}" uniqueName="301" name="Inzending-ID" queryTableFieldId="301" dataDxfId="2"/>
    <tableColumn id="302" xr3:uid="{F158597D-9E24-E14A-BE91-A8830C938E65}" uniqueName="302" name="Inzenddatum" queryTableFieldId="302" dataDxfId="1"/>
    <tableColumn id="463" xr3:uid="{50B28929-C17A-BD47-A857-DA30E767E60B}" uniqueName="463" name="Date Updated" totalsRowFunction="count" queryTableFieldId="463" dataDxfId="0"/>
  </tableColumns>
  <tableStyleInfo name="TableStyleMedium7"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7BAB-3485-4E29-90D6-492F584E3FD6}">
  <dimension ref="A1:CC108"/>
  <sheetViews>
    <sheetView zoomScaleNormal="100" workbookViewId="0">
      <pane xSplit="3" ySplit="5" topLeftCell="D6" activePane="bottomRight" state="frozen"/>
      <selection pane="topRight" activeCell="D1" sqref="D1"/>
      <selection pane="bottomLeft" activeCell="A7" sqref="A7"/>
      <selection pane="bottomRight" activeCell="C6" sqref="C6"/>
    </sheetView>
  </sheetViews>
  <sheetFormatPr baseColWidth="10" defaultColWidth="8.83203125" defaultRowHeight="15" x14ac:dyDescent="0.2"/>
  <cols>
    <col min="1" max="1" width="11.5" bestFit="1" customWidth="1"/>
    <col min="2" max="2" width="9.1640625" bestFit="1" customWidth="1"/>
    <col min="3" max="3" width="55.33203125" bestFit="1" customWidth="1"/>
    <col min="4" max="6" width="3.6640625" bestFit="1" customWidth="1"/>
    <col min="7" max="7" width="5.5" bestFit="1" customWidth="1"/>
    <col min="8" max="8" width="3.6640625" bestFit="1" customWidth="1"/>
    <col min="9" max="10" width="4.1640625" bestFit="1" customWidth="1"/>
    <col min="11" max="11" width="3.6640625" bestFit="1" customWidth="1"/>
    <col min="12" max="12" width="4.1640625" bestFit="1" customWidth="1"/>
    <col min="13" max="17" width="3.6640625" bestFit="1" customWidth="1"/>
    <col min="18" max="19" width="3.6640625" style="48" bestFit="1" customWidth="1"/>
    <col min="20" max="22" width="3.6640625" bestFit="1" customWidth="1"/>
    <col min="23" max="25" width="4.1640625" bestFit="1" customWidth="1"/>
    <col min="26" max="29" width="3.6640625" bestFit="1" customWidth="1"/>
    <col min="30" max="31" width="4.1640625" bestFit="1" customWidth="1"/>
    <col min="32" max="32" width="3.6640625" bestFit="1" customWidth="1"/>
    <col min="33" max="33" width="4.1640625" bestFit="1" customWidth="1"/>
    <col min="34" max="34" width="3.6640625" bestFit="1" customWidth="1"/>
    <col min="35" max="35" width="5.1640625" bestFit="1" customWidth="1"/>
    <col min="36" max="36" width="4.1640625" bestFit="1" customWidth="1"/>
    <col min="37" max="38" width="3.6640625" bestFit="1" customWidth="1"/>
    <col min="39" max="39" width="55.33203125" style="42" bestFit="1" customWidth="1"/>
    <col min="40" max="40" width="5.1640625" bestFit="1" customWidth="1"/>
    <col min="41" max="42" width="15" bestFit="1" customWidth="1"/>
    <col min="43" max="43" width="40.6640625" bestFit="1" customWidth="1"/>
    <col min="44" max="44" width="23.83203125" style="42" bestFit="1" customWidth="1"/>
    <col min="45" max="45" width="30.6640625" bestFit="1" customWidth="1"/>
    <col min="46" max="46" width="30.5" bestFit="1" customWidth="1"/>
    <col min="47" max="47" width="20.5" bestFit="1" customWidth="1"/>
    <col min="48" max="48" width="25.1640625" bestFit="1" customWidth="1"/>
    <col min="49" max="49" width="4.1640625" bestFit="1" customWidth="1"/>
    <col min="50" max="50" width="4" bestFit="1" customWidth="1"/>
    <col min="51" max="51" width="50.83203125" bestFit="1" customWidth="1"/>
    <col min="52" max="52" width="48.1640625" bestFit="1" customWidth="1"/>
    <col min="53" max="53" width="43" style="47" bestFit="1" customWidth="1"/>
    <col min="54" max="54" width="15.6640625" style="1" bestFit="1" customWidth="1"/>
    <col min="55" max="55" width="21.33203125" style="1" bestFit="1" customWidth="1"/>
    <col min="56" max="57" width="9.33203125" bestFit="1" customWidth="1"/>
  </cols>
  <sheetData>
    <row r="1" spans="1:81" x14ac:dyDescent="0.2">
      <c r="AI1" t="s">
        <v>0</v>
      </c>
      <c r="AL1" s="2"/>
      <c r="AM1" s="85"/>
      <c r="AS1" s="1"/>
      <c r="AT1" s="1"/>
      <c r="BB1" s="24"/>
      <c r="BC1" s="24"/>
      <c r="BD1" s="24"/>
      <c r="BE1" s="24"/>
    </row>
    <row r="2" spans="1:81" ht="16" thickBot="1" x14ac:dyDescent="0.25">
      <c r="AL2" s="2"/>
      <c r="AM2" s="85"/>
      <c r="AS2" s="1"/>
      <c r="AT2" s="1"/>
      <c r="BB2" s="24"/>
      <c r="BC2" s="24"/>
      <c r="BD2" s="24"/>
      <c r="BE2" s="24"/>
    </row>
    <row r="3" spans="1:81" ht="33" customHeight="1" thickBot="1" x14ac:dyDescent="0.25">
      <c r="A3" s="67"/>
      <c r="B3" s="68"/>
      <c r="C3" s="69"/>
      <c r="D3" s="93" t="s">
        <v>1</v>
      </c>
      <c r="E3" s="94"/>
      <c r="F3" s="94"/>
      <c r="G3" s="94"/>
      <c r="H3" s="95"/>
      <c r="I3" s="72"/>
      <c r="J3" s="100" t="s">
        <v>2</v>
      </c>
      <c r="K3" s="100"/>
      <c r="L3" s="100"/>
      <c r="M3" s="100"/>
      <c r="N3" s="100"/>
      <c r="O3" s="100"/>
      <c r="P3" s="100"/>
      <c r="Q3" s="100"/>
      <c r="R3" s="100"/>
      <c r="S3" s="100"/>
      <c r="T3" s="101"/>
      <c r="U3" s="17" t="s">
        <v>3</v>
      </c>
      <c r="V3" s="11" t="s">
        <v>150</v>
      </c>
      <c r="W3" s="13"/>
      <c r="X3" s="93" t="s">
        <v>5</v>
      </c>
      <c r="Y3" s="94"/>
      <c r="Z3" s="94"/>
      <c r="AA3" s="94"/>
      <c r="AB3" s="95"/>
      <c r="AC3" s="104" t="s">
        <v>151</v>
      </c>
      <c r="AD3" s="93" t="s">
        <v>7</v>
      </c>
      <c r="AE3" s="94"/>
      <c r="AF3" s="94"/>
      <c r="AG3" s="94"/>
      <c r="AH3" s="95"/>
      <c r="AI3" s="93" t="s">
        <v>8</v>
      </c>
      <c r="AJ3" s="94"/>
      <c r="AK3" s="94"/>
      <c r="AL3" s="94"/>
      <c r="AM3" s="94"/>
      <c r="AN3" s="94"/>
      <c r="AO3" s="94"/>
      <c r="AP3" s="94"/>
      <c r="AQ3" s="95"/>
      <c r="AR3" s="87" t="s">
        <v>9</v>
      </c>
      <c r="AS3" s="88"/>
      <c r="AT3" s="88"/>
      <c r="AU3" s="88"/>
      <c r="AV3" s="88"/>
      <c r="AW3" s="89"/>
      <c r="AX3" s="93" t="s">
        <v>152</v>
      </c>
      <c r="AY3" s="94"/>
      <c r="AZ3" s="94"/>
      <c r="BA3" s="95"/>
      <c r="BB3"/>
      <c r="BC3"/>
      <c r="BW3" s="1"/>
      <c r="BX3" s="24"/>
      <c r="BY3" s="24"/>
      <c r="BZ3" s="24"/>
      <c r="CA3" s="24"/>
      <c r="CB3" s="24"/>
      <c r="CC3" s="24"/>
    </row>
    <row r="4" spans="1:81" ht="16" thickBot="1" x14ac:dyDescent="0.25">
      <c r="A4" s="70"/>
      <c r="B4" s="71"/>
      <c r="C4" s="61"/>
      <c r="D4" s="96"/>
      <c r="E4" s="97"/>
      <c r="F4" s="97"/>
      <c r="G4" s="97"/>
      <c r="H4" s="98"/>
      <c r="I4" s="99" t="s">
        <v>11</v>
      </c>
      <c r="J4" s="102"/>
      <c r="K4" s="102"/>
      <c r="L4" s="102"/>
      <c r="M4" s="103"/>
      <c r="N4" s="99" t="s">
        <v>87</v>
      </c>
      <c r="O4" s="100"/>
      <c r="P4" s="101"/>
      <c r="Q4" s="99" t="s">
        <v>14</v>
      </c>
      <c r="R4" s="100"/>
      <c r="S4" s="100"/>
      <c r="T4" s="100"/>
      <c r="U4" s="18"/>
      <c r="V4" s="14"/>
      <c r="W4" s="16"/>
      <c r="X4" s="96"/>
      <c r="Y4" s="97"/>
      <c r="Z4" s="97"/>
      <c r="AA4" s="97"/>
      <c r="AB4" s="98"/>
      <c r="AC4" s="105"/>
      <c r="AD4" s="96"/>
      <c r="AE4" s="97"/>
      <c r="AF4" s="97"/>
      <c r="AG4" s="97"/>
      <c r="AH4" s="98"/>
      <c r="AI4" s="96"/>
      <c r="AJ4" s="97"/>
      <c r="AK4" s="97"/>
      <c r="AL4" s="97"/>
      <c r="AM4" s="97"/>
      <c r="AN4" s="97"/>
      <c r="AO4" s="97"/>
      <c r="AP4" s="97"/>
      <c r="AQ4" s="98"/>
      <c r="AR4" s="90"/>
      <c r="AS4" s="91"/>
      <c r="AT4" s="91"/>
      <c r="AU4" s="91"/>
      <c r="AV4" s="91"/>
      <c r="AW4" s="92"/>
      <c r="AX4" s="96"/>
      <c r="AY4" s="97"/>
      <c r="AZ4" s="97"/>
      <c r="BA4" s="98"/>
      <c r="BB4"/>
      <c r="BC4"/>
      <c r="BW4" s="1"/>
      <c r="BX4" s="24"/>
      <c r="BY4" s="24"/>
      <c r="BZ4" s="24"/>
      <c r="CA4" s="24"/>
      <c r="CB4" s="24"/>
      <c r="CC4" s="24"/>
    </row>
    <row r="5" spans="1:81" ht="1" customHeight="1" thickBot="1" x14ac:dyDescent="0.25">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44"/>
      <c r="AN5" s="1"/>
      <c r="AO5" s="1"/>
      <c r="AP5" s="1"/>
      <c r="AQ5" s="1"/>
      <c r="AR5" s="44"/>
      <c r="AS5" s="1"/>
      <c r="AT5" s="1"/>
      <c r="AU5" s="1"/>
      <c r="AV5" s="1"/>
      <c r="AW5" s="1"/>
      <c r="AX5" s="1"/>
      <c r="AY5" s="1"/>
      <c r="AZ5" s="1"/>
      <c r="BD5" s="1"/>
      <c r="BE5" s="1"/>
    </row>
    <row r="6" spans="1:81" s="74" customFormat="1" ht="278" thickBot="1" x14ac:dyDescent="0.25">
      <c r="A6" s="73" t="s">
        <v>17</v>
      </c>
      <c r="B6" s="73" t="s">
        <v>149</v>
      </c>
      <c r="C6" s="73" t="s">
        <v>19</v>
      </c>
      <c r="D6" s="77" t="s">
        <v>20</v>
      </c>
      <c r="E6" s="78" t="s">
        <v>141</v>
      </c>
      <c r="F6" s="78" t="s">
        <v>142</v>
      </c>
      <c r="G6" s="78" t="s">
        <v>23</v>
      </c>
      <c r="H6" s="79" t="s">
        <v>24</v>
      </c>
      <c r="I6" s="77" t="s">
        <v>25</v>
      </c>
      <c r="J6" s="78" t="s">
        <v>121</v>
      </c>
      <c r="K6" s="78" t="s">
        <v>122</v>
      </c>
      <c r="L6" s="78" t="s">
        <v>123</v>
      </c>
      <c r="M6" s="78" t="s">
        <v>124</v>
      </c>
      <c r="N6" s="78" t="s">
        <v>26</v>
      </c>
      <c r="O6" s="78" t="s">
        <v>27</v>
      </c>
      <c r="P6" s="78" t="s">
        <v>28</v>
      </c>
      <c r="Q6" s="78" t="s">
        <v>146</v>
      </c>
      <c r="R6" s="78" t="s">
        <v>133</v>
      </c>
      <c r="S6" s="78" t="s">
        <v>134</v>
      </c>
      <c r="T6" s="79" t="s">
        <v>135</v>
      </c>
      <c r="U6" s="80" t="s">
        <v>144</v>
      </c>
      <c r="V6" s="77" t="s">
        <v>105</v>
      </c>
      <c r="W6" s="79" t="s">
        <v>71</v>
      </c>
      <c r="X6" s="77" t="s">
        <v>147</v>
      </c>
      <c r="Y6" s="78" t="s">
        <v>38</v>
      </c>
      <c r="Z6" s="78" t="s">
        <v>140</v>
      </c>
      <c r="AA6" s="78" t="s">
        <v>39</v>
      </c>
      <c r="AB6" s="79" t="s">
        <v>40</v>
      </c>
      <c r="AC6" s="80" t="s">
        <v>143</v>
      </c>
      <c r="AD6" s="77" t="s">
        <v>117</v>
      </c>
      <c r="AE6" s="78" t="s">
        <v>118</v>
      </c>
      <c r="AF6" s="78" t="s">
        <v>119</v>
      </c>
      <c r="AG6" s="78" t="s">
        <v>120</v>
      </c>
      <c r="AH6" s="79" t="s">
        <v>148</v>
      </c>
      <c r="AI6" s="81" t="s">
        <v>46</v>
      </c>
      <c r="AJ6" s="78" t="s">
        <v>47</v>
      </c>
      <c r="AK6" s="78" t="s">
        <v>48</v>
      </c>
      <c r="AL6" s="78" t="s">
        <v>49</v>
      </c>
      <c r="AM6" s="86" t="s">
        <v>50</v>
      </c>
      <c r="AN6" s="78" t="s">
        <v>51</v>
      </c>
      <c r="AO6" s="78" t="s">
        <v>52</v>
      </c>
      <c r="AP6" s="78" t="s">
        <v>103</v>
      </c>
      <c r="AQ6" s="79" t="s">
        <v>53</v>
      </c>
      <c r="AR6" s="77" t="s">
        <v>54</v>
      </c>
      <c r="AS6" s="78" t="s">
        <v>55</v>
      </c>
      <c r="AT6" s="78" t="s">
        <v>56</v>
      </c>
      <c r="AU6" s="78" t="s">
        <v>57</v>
      </c>
      <c r="AV6" s="78" t="s">
        <v>58</v>
      </c>
      <c r="AW6" s="79" t="s">
        <v>59</v>
      </c>
      <c r="AX6" s="77" t="s">
        <v>145</v>
      </c>
      <c r="AY6" s="78" t="s">
        <v>67</v>
      </c>
      <c r="AZ6" s="78" t="s">
        <v>68</v>
      </c>
      <c r="BA6" s="79" t="s">
        <v>69</v>
      </c>
    </row>
    <row r="7" spans="1:81" ht="48" x14ac:dyDescent="0.2">
      <c r="A7" s="125" t="s">
        <v>208</v>
      </c>
      <c r="B7" s="125" t="s">
        <v>443</v>
      </c>
      <c r="C7" s="125" t="s">
        <v>444</v>
      </c>
      <c r="D7" s="125" t="s">
        <v>73</v>
      </c>
      <c r="E7" s="125" t="s">
        <v>72</v>
      </c>
      <c r="F7" s="125" t="s">
        <v>72</v>
      </c>
      <c r="G7" s="125" t="s">
        <v>73</v>
      </c>
      <c r="H7" s="125"/>
      <c r="I7">
        <v>10</v>
      </c>
      <c r="J7">
        <v>6</v>
      </c>
      <c r="N7">
        <v>3</v>
      </c>
      <c r="Q7">
        <v>0</v>
      </c>
      <c r="R7">
        <v>0</v>
      </c>
      <c r="S7">
        <v>0</v>
      </c>
      <c r="T7">
        <v>0</v>
      </c>
      <c r="U7" s="125" t="s">
        <v>73</v>
      </c>
      <c r="V7">
        <v>0</v>
      </c>
      <c r="W7">
        <v>0</v>
      </c>
      <c r="X7">
        <v>5</v>
      </c>
      <c r="Y7">
        <v>3</v>
      </c>
      <c r="Z7">
        <v>1</v>
      </c>
      <c r="AA7">
        <v>0</v>
      </c>
      <c r="AB7">
        <v>1</v>
      </c>
      <c r="AC7" s="125" t="s">
        <v>73</v>
      </c>
      <c r="AD7">
        <v>0</v>
      </c>
      <c r="AE7">
        <v>0</v>
      </c>
      <c r="AF7">
        <v>0</v>
      </c>
      <c r="AG7">
        <v>0</v>
      </c>
      <c r="AH7">
        <v>0</v>
      </c>
      <c r="AI7">
        <v>60</v>
      </c>
      <c r="AJ7">
        <v>20</v>
      </c>
      <c r="AK7" s="125" t="s">
        <v>72</v>
      </c>
      <c r="AL7" s="125" t="s">
        <v>73</v>
      </c>
      <c r="AM7" s="126" t="s">
        <v>445</v>
      </c>
      <c r="AN7" s="125" t="s">
        <v>446</v>
      </c>
      <c r="AO7" s="56">
        <v>46021.879988425928</v>
      </c>
      <c r="AP7" s="56">
        <v>46021.838321759256</v>
      </c>
      <c r="AQ7" s="125" t="s">
        <v>73</v>
      </c>
      <c r="AR7" s="125" t="s">
        <v>73</v>
      </c>
      <c r="AS7" s="125" t="s">
        <v>73</v>
      </c>
      <c r="AT7" s="125" t="s">
        <v>73</v>
      </c>
      <c r="AU7" s="125" t="s">
        <v>73</v>
      </c>
      <c r="AV7" s="125" t="s">
        <v>73</v>
      </c>
      <c r="AW7">
        <v>0</v>
      </c>
      <c r="AX7" s="125" t="s">
        <v>73</v>
      </c>
      <c r="AY7" s="125" t="s">
        <v>158</v>
      </c>
      <c r="AZ7" s="125" t="s">
        <v>158</v>
      </c>
      <c r="BA7" s="125" t="s">
        <v>158</v>
      </c>
      <c r="BB7"/>
      <c r="BC7"/>
    </row>
    <row r="8" spans="1:81" s="23" customFormat="1" ht="16" x14ac:dyDescent="0.2">
      <c r="A8" s="125" t="s">
        <v>208</v>
      </c>
      <c r="B8" s="125" t="s">
        <v>447</v>
      </c>
      <c r="C8" s="125" t="s">
        <v>448</v>
      </c>
      <c r="D8" s="125" t="s">
        <v>73</v>
      </c>
      <c r="E8" s="125" t="s">
        <v>73</v>
      </c>
      <c r="F8" s="125" t="s">
        <v>73</v>
      </c>
      <c r="G8" s="125" t="s">
        <v>73</v>
      </c>
      <c r="H8" s="125"/>
      <c r="I8">
        <v>4</v>
      </c>
      <c r="J8"/>
      <c r="K8"/>
      <c r="L8"/>
      <c r="M8"/>
      <c r="N8"/>
      <c r="O8"/>
      <c r="P8"/>
      <c r="Q8">
        <v>0</v>
      </c>
      <c r="R8">
        <v>0</v>
      </c>
      <c r="S8">
        <v>0</v>
      </c>
      <c r="T8">
        <v>0</v>
      </c>
      <c r="U8" s="125" t="s">
        <v>73</v>
      </c>
      <c r="V8">
        <v>0</v>
      </c>
      <c r="W8">
        <v>0</v>
      </c>
      <c r="X8">
        <v>0</v>
      </c>
      <c r="Y8">
        <v>0</v>
      </c>
      <c r="Z8">
        <v>0</v>
      </c>
      <c r="AA8">
        <v>0</v>
      </c>
      <c r="AB8">
        <v>0</v>
      </c>
      <c r="AC8" s="125" t="s">
        <v>73</v>
      </c>
      <c r="AD8">
        <v>0</v>
      </c>
      <c r="AE8">
        <v>0</v>
      </c>
      <c r="AF8">
        <v>0</v>
      </c>
      <c r="AG8">
        <v>0</v>
      </c>
      <c r="AH8">
        <v>0</v>
      </c>
      <c r="AI8">
        <v>15</v>
      </c>
      <c r="AJ8">
        <v>0</v>
      </c>
      <c r="AK8" s="125" t="s">
        <v>73</v>
      </c>
      <c r="AL8" s="125" t="s">
        <v>73</v>
      </c>
      <c r="AM8" s="126" t="s">
        <v>449</v>
      </c>
      <c r="AN8" s="125" t="s">
        <v>450</v>
      </c>
      <c r="AO8" s="56">
        <v>46021.874652777777</v>
      </c>
      <c r="AP8" s="56">
        <v>46021.832986111112</v>
      </c>
      <c r="AQ8" s="125" t="s">
        <v>73</v>
      </c>
      <c r="AR8" s="125" t="s">
        <v>73</v>
      </c>
      <c r="AS8" s="125" t="s">
        <v>73</v>
      </c>
      <c r="AT8" s="125" t="s">
        <v>73</v>
      </c>
      <c r="AU8" s="125" t="s">
        <v>73</v>
      </c>
      <c r="AV8" s="125" t="s">
        <v>73</v>
      </c>
      <c r="AW8">
        <v>0</v>
      </c>
      <c r="AX8" s="125" t="s">
        <v>73</v>
      </c>
      <c r="AY8" s="125" t="s">
        <v>158</v>
      </c>
      <c r="AZ8" s="125" t="s">
        <v>158</v>
      </c>
      <c r="BA8" s="125" t="s">
        <v>158</v>
      </c>
    </row>
    <row r="9" spans="1:81" ht="80" x14ac:dyDescent="0.2">
      <c r="A9" s="125" t="s">
        <v>208</v>
      </c>
      <c r="B9" s="125" t="s">
        <v>408</v>
      </c>
      <c r="C9" s="125" t="s">
        <v>409</v>
      </c>
      <c r="D9" s="125" t="s">
        <v>73</v>
      </c>
      <c r="E9" s="125" t="s">
        <v>72</v>
      </c>
      <c r="F9" s="125" t="s">
        <v>73</v>
      </c>
      <c r="G9" s="125" t="s">
        <v>73</v>
      </c>
      <c r="H9" s="125"/>
      <c r="I9">
        <v>3</v>
      </c>
      <c r="Q9">
        <v>0</v>
      </c>
      <c r="R9">
        <v>0</v>
      </c>
      <c r="S9">
        <v>0</v>
      </c>
      <c r="T9">
        <v>0</v>
      </c>
      <c r="U9" s="125" t="s">
        <v>73</v>
      </c>
      <c r="V9">
        <v>0</v>
      </c>
      <c r="W9">
        <v>0</v>
      </c>
      <c r="X9">
        <v>0</v>
      </c>
      <c r="Y9">
        <v>0</v>
      </c>
      <c r="Z9">
        <v>0</v>
      </c>
      <c r="AA9">
        <v>0</v>
      </c>
      <c r="AB9">
        <v>0</v>
      </c>
      <c r="AC9" s="125" t="s">
        <v>73</v>
      </c>
      <c r="AD9">
        <v>0</v>
      </c>
      <c r="AE9">
        <v>0</v>
      </c>
      <c r="AF9">
        <v>0</v>
      </c>
      <c r="AG9">
        <v>0</v>
      </c>
      <c r="AH9">
        <v>0</v>
      </c>
      <c r="AI9">
        <v>50</v>
      </c>
      <c r="AJ9">
        <v>10</v>
      </c>
      <c r="AK9" s="125" t="s">
        <v>73</v>
      </c>
      <c r="AL9" s="125" t="s">
        <v>72</v>
      </c>
      <c r="AM9" s="126" t="s">
        <v>410</v>
      </c>
      <c r="AN9" s="125" t="s">
        <v>411</v>
      </c>
      <c r="AO9" s="56">
        <v>46019.440752314818</v>
      </c>
      <c r="AP9" s="56">
        <v>46019.399085648147</v>
      </c>
      <c r="AQ9" s="125" t="s">
        <v>73</v>
      </c>
      <c r="AR9" s="125" t="s">
        <v>73</v>
      </c>
      <c r="AS9" s="125" t="s">
        <v>73</v>
      </c>
      <c r="AT9" s="125" t="s">
        <v>73</v>
      </c>
      <c r="AU9" s="125" t="s">
        <v>73</v>
      </c>
      <c r="AV9" s="125" t="s">
        <v>73</v>
      </c>
      <c r="AW9">
        <v>0</v>
      </c>
      <c r="AX9" s="125" t="s">
        <v>73</v>
      </c>
      <c r="AY9" s="125" t="s">
        <v>158</v>
      </c>
      <c r="AZ9" s="125" t="s">
        <v>158</v>
      </c>
      <c r="BA9" s="125" t="s">
        <v>158</v>
      </c>
      <c r="BB9"/>
      <c r="BC9"/>
    </row>
    <row r="10" spans="1:81" ht="16" x14ac:dyDescent="0.2">
      <c r="A10" s="125" t="s">
        <v>208</v>
      </c>
      <c r="B10" s="125" t="s">
        <v>393</v>
      </c>
      <c r="C10" s="125" t="s">
        <v>394</v>
      </c>
      <c r="D10" s="125" t="s">
        <v>72</v>
      </c>
      <c r="E10" s="125" t="s">
        <v>72</v>
      </c>
      <c r="F10" s="125" t="s">
        <v>72</v>
      </c>
      <c r="G10" s="125" t="s">
        <v>72</v>
      </c>
      <c r="H10" s="125" t="s">
        <v>72</v>
      </c>
      <c r="I10">
        <v>13</v>
      </c>
      <c r="J10">
        <v>8</v>
      </c>
      <c r="L10">
        <v>6</v>
      </c>
      <c r="N10">
        <v>9</v>
      </c>
      <c r="Q10">
        <v>0</v>
      </c>
      <c r="R10">
        <v>0</v>
      </c>
      <c r="S10">
        <v>0</v>
      </c>
      <c r="T10">
        <v>0</v>
      </c>
      <c r="U10" s="125" t="s">
        <v>73</v>
      </c>
      <c r="V10">
        <v>5</v>
      </c>
      <c r="W10">
        <v>21</v>
      </c>
      <c r="X10">
        <v>16</v>
      </c>
      <c r="Y10">
        <v>7</v>
      </c>
      <c r="Z10">
        <v>7</v>
      </c>
      <c r="AA10">
        <v>0</v>
      </c>
      <c r="AB10">
        <v>2</v>
      </c>
      <c r="AC10" s="125" t="s">
        <v>73</v>
      </c>
      <c r="AD10">
        <v>0</v>
      </c>
      <c r="AE10">
        <v>0</v>
      </c>
      <c r="AF10">
        <v>0</v>
      </c>
      <c r="AG10">
        <v>0</v>
      </c>
      <c r="AH10">
        <v>0</v>
      </c>
      <c r="AI10">
        <v>120</v>
      </c>
      <c r="AJ10">
        <v>34</v>
      </c>
      <c r="AK10" s="125" t="s">
        <v>73</v>
      </c>
      <c r="AL10" s="125" t="s">
        <v>73</v>
      </c>
      <c r="AM10" s="126" t="s">
        <v>73</v>
      </c>
      <c r="AN10" s="125" t="s">
        <v>395</v>
      </c>
      <c r="AO10" s="56">
        <v>46017.522615740738</v>
      </c>
      <c r="AP10" s="56">
        <v>46019.847025462965</v>
      </c>
      <c r="AQ10" s="125" t="s">
        <v>73</v>
      </c>
      <c r="AR10" s="125" t="s">
        <v>73</v>
      </c>
      <c r="AS10" s="125" t="s">
        <v>73</v>
      </c>
      <c r="AT10" s="125" t="s">
        <v>73</v>
      </c>
      <c r="AU10" s="125" t="s">
        <v>73</v>
      </c>
      <c r="AV10" s="125" t="s">
        <v>73</v>
      </c>
      <c r="AW10">
        <v>0</v>
      </c>
      <c r="AX10" s="125" t="s">
        <v>75</v>
      </c>
      <c r="AY10" s="125" t="s">
        <v>396</v>
      </c>
      <c r="AZ10" s="125" t="s">
        <v>214</v>
      </c>
      <c r="BA10" s="125" t="s">
        <v>397</v>
      </c>
      <c r="BB10"/>
      <c r="BC10"/>
    </row>
    <row r="11" spans="1:81" ht="16" x14ac:dyDescent="0.2">
      <c r="A11" s="125" t="s">
        <v>208</v>
      </c>
      <c r="B11" s="125" t="s">
        <v>388</v>
      </c>
      <c r="C11" s="125" t="s">
        <v>389</v>
      </c>
      <c r="D11" s="125" t="s">
        <v>73</v>
      </c>
      <c r="E11" s="125" t="s">
        <v>72</v>
      </c>
      <c r="F11" s="125" t="s">
        <v>72</v>
      </c>
      <c r="G11" s="125" t="s">
        <v>73</v>
      </c>
      <c r="H11" s="125"/>
      <c r="I11">
        <v>12</v>
      </c>
      <c r="N11">
        <v>4</v>
      </c>
      <c r="Q11">
        <v>3</v>
      </c>
      <c r="R11">
        <v>3</v>
      </c>
      <c r="S11">
        <v>0</v>
      </c>
      <c r="T11">
        <v>0</v>
      </c>
      <c r="U11" s="125" t="s">
        <v>73</v>
      </c>
      <c r="V11">
        <v>0</v>
      </c>
      <c r="W11">
        <v>0</v>
      </c>
      <c r="X11">
        <v>3</v>
      </c>
      <c r="Y11">
        <v>3</v>
      </c>
      <c r="Z11">
        <v>0</v>
      </c>
      <c r="AA11">
        <v>0</v>
      </c>
      <c r="AB11">
        <v>0</v>
      </c>
      <c r="AC11" s="125" t="s">
        <v>73</v>
      </c>
      <c r="AD11">
        <v>0</v>
      </c>
      <c r="AE11">
        <v>0</v>
      </c>
      <c r="AF11">
        <v>0</v>
      </c>
      <c r="AG11">
        <v>0</v>
      </c>
      <c r="AH11">
        <v>0</v>
      </c>
      <c r="AI11">
        <v>50</v>
      </c>
      <c r="AJ11">
        <v>7</v>
      </c>
      <c r="AK11" s="125" t="s">
        <v>72</v>
      </c>
      <c r="AL11" s="125" t="s">
        <v>73</v>
      </c>
      <c r="AM11" s="126" t="s">
        <v>73</v>
      </c>
      <c r="AN11" s="125" t="s">
        <v>390</v>
      </c>
      <c r="AO11" s="56">
        <v>46017.422407407408</v>
      </c>
      <c r="AP11" s="56">
        <v>46017.380740740744</v>
      </c>
      <c r="AQ11" s="125" t="s">
        <v>73</v>
      </c>
      <c r="AR11" s="125" t="s">
        <v>73</v>
      </c>
      <c r="AS11" s="125" t="s">
        <v>73</v>
      </c>
      <c r="AT11" s="125" t="s">
        <v>73</v>
      </c>
      <c r="AU11" s="125" t="s">
        <v>73</v>
      </c>
      <c r="AV11" s="125" t="s">
        <v>73</v>
      </c>
      <c r="AW11">
        <v>0</v>
      </c>
      <c r="AX11" s="125" t="s">
        <v>73</v>
      </c>
      <c r="AY11" s="125" t="s">
        <v>158</v>
      </c>
      <c r="AZ11" s="125" t="s">
        <v>158</v>
      </c>
      <c r="BA11" s="125" t="s">
        <v>158</v>
      </c>
      <c r="BB11"/>
      <c r="BC11"/>
    </row>
    <row r="12" spans="1:81" ht="16" x14ac:dyDescent="0.2">
      <c r="A12" s="125" t="s">
        <v>208</v>
      </c>
      <c r="B12" s="125" t="s">
        <v>359</v>
      </c>
      <c r="C12" s="125" t="s">
        <v>360</v>
      </c>
      <c r="D12" s="125" t="s">
        <v>73</v>
      </c>
      <c r="E12" s="125" t="s">
        <v>72</v>
      </c>
      <c r="F12" s="125" t="s">
        <v>72</v>
      </c>
      <c r="G12" s="125" t="s">
        <v>262</v>
      </c>
      <c r="H12" s="125"/>
      <c r="I12">
        <v>10</v>
      </c>
      <c r="J12">
        <v>6</v>
      </c>
      <c r="L12">
        <v>4</v>
      </c>
      <c r="N12">
        <v>4</v>
      </c>
      <c r="Q12">
        <v>0</v>
      </c>
      <c r="R12">
        <v>0</v>
      </c>
      <c r="S12">
        <v>0</v>
      </c>
      <c r="T12">
        <v>0</v>
      </c>
      <c r="U12" s="125" t="s">
        <v>73</v>
      </c>
      <c r="V12">
        <v>2</v>
      </c>
      <c r="W12">
        <v>16</v>
      </c>
      <c r="X12">
        <v>16</v>
      </c>
      <c r="Y12">
        <v>11</v>
      </c>
      <c r="Z12">
        <v>0</v>
      </c>
      <c r="AA12">
        <v>2</v>
      </c>
      <c r="AB12">
        <v>3</v>
      </c>
      <c r="AC12" s="125" t="s">
        <v>73</v>
      </c>
      <c r="AD12">
        <v>0</v>
      </c>
      <c r="AE12">
        <v>0</v>
      </c>
      <c r="AF12">
        <v>0</v>
      </c>
      <c r="AG12">
        <v>0</v>
      </c>
      <c r="AH12">
        <v>0</v>
      </c>
      <c r="AI12">
        <v>120</v>
      </c>
      <c r="AJ12">
        <v>35</v>
      </c>
      <c r="AK12" s="125" t="s">
        <v>73</v>
      </c>
      <c r="AL12" s="125" t="s">
        <v>73</v>
      </c>
      <c r="AM12" s="126" t="s">
        <v>361</v>
      </c>
      <c r="AN12" s="125" t="s">
        <v>362</v>
      </c>
      <c r="AO12" s="56">
        <v>46014.652094907404</v>
      </c>
      <c r="AP12" s="56">
        <v>46015.316423611112</v>
      </c>
      <c r="AQ12" s="125" t="s">
        <v>73</v>
      </c>
      <c r="AR12" s="125" t="s">
        <v>73</v>
      </c>
      <c r="AS12" s="125" t="s">
        <v>73</v>
      </c>
      <c r="AT12" s="125" t="s">
        <v>73</v>
      </c>
      <c r="AU12" s="125" t="s">
        <v>73</v>
      </c>
      <c r="AV12" s="125" t="s">
        <v>73</v>
      </c>
      <c r="AW12">
        <v>0</v>
      </c>
      <c r="AX12" s="125" t="s">
        <v>212</v>
      </c>
      <c r="AY12" s="125" t="s">
        <v>368</v>
      </c>
      <c r="AZ12" s="125" t="s">
        <v>363</v>
      </c>
      <c r="BA12" s="125" t="s">
        <v>369</v>
      </c>
      <c r="BB12"/>
      <c r="BC12"/>
    </row>
    <row r="13" spans="1:81" ht="16" x14ac:dyDescent="0.2">
      <c r="A13" s="125" t="s">
        <v>208</v>
      </c>
      <c r="B13" s="125" t="s">
        <v>364</v>
      </c>
      <c r="C13" s="125" t="s">
        <v>365</v>
      </c>
      <c r="D13" s="125" t="s">
        <v>73</v>
      </c>
      <c r="E13" s="125" t="s">
        <v>72</v>
      </c>
      <c r="F13" s="125" t="s">
        <v>73</v>
      </c>
      <c r="G13" s="125" t="s">
        <v>73</v>
      </c>
      <c r="H13" s="125"/>
      <c r="Q13">
        <v>0</v>
      </c>
      <c r="R13">
        <v>0</v>
      </c>
      <c r="S13">
        <v>0</v>
      </c>
      <c r="T13">
        <v>0</v>
      </c>
      <c r="U13" s="125" t="s">
        <v>73</v>
      </c>
      <c r="V13">
        <v>0</v>
      </c>
      <c r="W13">
        <v>0</v>
      </c>
      <c r="X13">
        <v>0</v>
      </c>
      <c r="Y13">
        <v>0</v>
      </c>
      <c r="Z13">
        <v>0</v>
      </c>
      <c r="AA13">
        <v>0</v>
      </c>
      <c r="AB13">
        <v>0</v>
      </c>
      <c r="AC13" s="125" t="s">
        <v>73</v>
      </c>
      <c r="AD13">
        <v>0</v>
      </c>
      <c r="AE13">
        <v>0</v>
      </c>
      <c r="AF13">
        <v>0</v>
      </c>
      <c r="AG13">
        <v>0</v>
      </c>
      <c r="AH13">
        <v>0</v>
      </c>
      <c r="AI13">
        <v>35</v>
      </c>
      <c r="AJ13">
        <v>2</v>
      </c>
      <c r="AK13" s="125" t="s">
        <v>72</v>
      </c>
      <c r="AL13" s="125" t="s">
        <v>73</v>
      </c>
      <c r="AM13" s="126" t="s">
        <v>73</v>
      </c>
      <c r="AN13" s="125" t="s">
        <v>366</v>
      </c>
      <c r="AO13" s="56">
        <v>46013.909756944442</v>
      </c>
      <c r="AP13" s="56">
        <v>46013.868090277778</v>
      </c>
      <c r="AQ13" s="125" t="s">
        <v>73</v>
      </c>
      <c r="AR13" s="125" t="s">
        <v>73</v>
      </c>
      <c r="AS13" s="125" t="s">
        <v>73</v>
      </c>
      <c r="AT13" s="125" t="s">
        <v>73</v>
      </c>
      <c r="AU13" s="125" t="s">
        <v>73</v>
      </c>
      <c r="AV13" s="125" t="s">
        <v>73</v>
      </c>
      <c r="AW13">
        <v>0</v>
      </c>
      <c r="AX13" s="125" t="s">
        <v>73</v>
      </c>
      <c r="AY13" s="125" t="s">
        <v>158</v>
      </c>
      <c r="AZ13" s="125" t="s">
        <v>158</v>
      </c>
      <c r="BA13" s="125" t="s">
        <v>158</v>
      </c>
      <c r="BB13"/>
      <c r="BC13"/>
    </row>
    <row r="14" spans="1:81" ht="32" x14ac:dyDescent="0.2">
      <c r="A14" s="125" t="s">
        <v>208</v>
      </c>
      <c r="B14" s="125" t="s">
        <v>332</v>
      </c>
      <c r="C14" s="125" t="s">
        <v>333</v>
      </c>
      <c r="D14" s="125" t="s">
        <v>73</v>
      </c>
      <c r="E14" s="125" t="s">
        <v>72</v>
      </c>
      <c r="F14" s="125" t="s">
        <v>73</v>
      </c>
      <c r="G14" s="125" t="s">
        <v>72</v>
      </c>
      <c r="H14" s="125" t="s">
        <v>72</v>
      </c>
      <c r="I14">
        <v>4</v>
      </c>
      <c r="Q14">
        <v>0</v>
      </c>
      <c r="R14">
        <v>0</v>
      </c>
      <c r="S14">
        <v>0</v>
      </c>
      <c r="T14">
        <v>0</v>
      </c>
      <c r="U14" s="125" t="s">
        <v>73</v>
      </c>
      <c r="V14">
        <v>6</v>
      </c>
      <c r="W14">
        <v>15</v>
      </c>
      <c r="X14">
        <v>2</v>
      </c>
      <c r="Y14">
        <v>1</v>
      </c>
      <c r="Z14">
        <v>0</v>
      </c>
      <c r="AA14">
        <v>0</v>
      </c>
      <c r="AB14">
        <v>1</v>
      </c>
      <c r="AC14" s="125" t="s">
        <v>73</v>
      </c>
      <c r="AD14">
        <v>0</v>
      </c>
      <c r="AE14">
        <v>0</v>
      </c>
      <c r="AF14">
        <v>0</v>
      </c>
      <c r="AG14">
        <v>0</v>
      </c>
      <c r="AH14">
        <v>0</v>
      </c>
      <c r="AI14">
        <v>45</v>
      </c>
      <c r="AJ14">
        <v>10</v>
      </c>
      <c r="AK14" s="125" t="s">
        <v>73</v>
      </c>
      <c r="AL14" s="125" t="s">
        <v>73</v>
      </c>
      <c r="AM14" s="126" t="s">
        <v>434</v>
      </c>
      <c r="AN14" s="125" t="s">
        <v>334</v>
      </c>
      <c r="AO14" s="56">
        <v>46013.663159722222</v>
      </c>
      <c r="AP14" s="56">
        <v>46020.814189814817</v>
      </c>
      <c r="AQ14" s="125" t="s">
        <v>73</v>
      </c>
      <c r="AR14" s="125" t="s">
        <v>73</v>
      </c>
      <c r="AS14" s="125" t="s">
        <v>73</v>
      </c>
      <c r="AT14" s="125" t="s">
        <v>73</v>
      </c>
      <c r="AU14" s="125" t="s">
        <v>73</v>
      </c>
      <c r="AV14" s="125" t="s">
        <v>73</v>
      </c>
      <c r="AW14">
        <v>0</v>
      </c>
      <c r="AX14" s="125" t="s">
        <v>75</v>
      </c>
      <c r="AY14" s="125" t="s">
        <v>335</v>
      </c>
      <c r="AZ14" s="125" t="s">
        <v>336</v>
      </c>
      <c r="BA14" s="125" t="s">
        <v>337</v>
      </c>
      <c r="BB14"/>
      <c r="BC14"/>
    </row>
    <row r="15" spans="1:81" ht="16" x14ac:dyDescent="0.2">
      <c r="A15" s="125" t="s">
        <v>208</v>
      </c>
      <c r="B15" s="125" t="s">
        <v>303</v>
      </c>
      <c r="C15" s="125" t="s">
        <v>304</v>
      </c>
      <c r="D15" s="125" t="s">
        <v>72</v>
      </c>
      <c r="E15" s="125" t="s">
        <v>72</v>
      </c>
      <c r="F15" s="125" t="s">
        <v>72</v>
      </c>
      <c r="G15" s="125" t="s">
        <v>73</v>
      </c>
      <c r="H15" s="125"/>
      <c r="I15">
        <v>10</v>
      </c>
      <c r="Q15">
        <v>0</v>
      </c>
      <c r="R15">
        <v>0</v>
      </c>
      <c r="S15">
        <v>0</v>
      </c>
      <c r="T15">
        <v>0</v>
      </c>
      <c r="U15" s="125" t="s">
        <v>73</v>
      </c>
      <c r="V15">
        <v>0</v>
      </c>
      <c r="W15">
        <v>0</v>
      </c>
      <c r="X15">
        <v>5</v>
      </c>
      <c r="Y15">
        <v>5</v>
      </c>
      <c r="Z15">
        <v>0</v>
      </c>
      <c r="AA15">
        <v>0</v>
      </c>
      <c r="AB15">
        <v>0</v>
      </c>
      <c r="AC15" s="125" t="s">
        <v>73</v>
      </c>
      <c r="AD15">
        <v>0</v>
      </c>
      <c r="AE15">
        <v>0</v>
      </c>
      <c r="AF15">
        <v>0</v>
      </c>
      <c r="AG15">
        <v>0</v>
      </c>
      <c r="AH15">
        <v>0</v>
      </c>
      <c r="AI15">
        <v>65</v>
      </c>
      <c r="AJ15">
        <v>2</v>
      </c>
      <c r="AK15" s="125" t="s">
        <v>72</v>
      </c>
      <c r="AL15" s="125" t="s">
        <v>73</v>
      </c>
      <c r="AM15" s="126" t="s">
        <v>73</v>
      </c>
      <c r="AN15" s="125" t="s">
        <v>305</v>
      </c>
      <c r="AO15" s="56">
        <v>46011.04991898148</v>
      </c>
      <c r="AP15" s="56">
        <v>46011.008252314816</v>
      </c>
      <c r="AQ15" s="125" t="s">
        <v>73</v>
      </c>
      <c r="AR15" s="125" t="s">
        <v>73</v>
      </c>
      <c r="AS15" s="125" t="s">
        <v>73</v>
      </c>
      <c r="AT15" s="125" t="s">
        <v>73</v>
      </c>
      <c r="AU15" s="125" t="s">
        <v>73</v>
      </c>
      <c r="AV15" s="125" t="s">
        <v>73</v>
      </c>
      <c r="AW15">
        <v>0</v>
      </c>
      <c r="AX15" s="125" t="s">
        <v>73</v>
      </c>
      <c r="AY15" s="125" t="s">
        <v>158</v>
      </c>
      <c r="AZ15" s="125" t="s">
        <v>158</v>
      </c>
      <c r="BA15" s="125" t="s">
        <v>158</v>
      </c>
      <c r="BB15"/>
      <c r="BC15"/>
    </row>
    <row r="16" spans="1:81" ht="16" x14ac:dyDescent="0.2">
      <c r="A16" s="125" t="s">
        <v>208</v>
      </c>
      <c r="B16" s="125" t="s">
        <v>295</v>
      </c>
      <c r="C16" s="125" t="s">
        <v>296</v>
      </c>
      <c r="D16" s="125" t="s">
        <v>73</v>
      </c>
      <c r="E16" s="125" t="s">
        <v>72</v>
      </c>
      <c r="F16" s="125" t="s">
        <v>72</v>
      </c>
      <c r="G16" s="125" t="s">
        <v>73</v>
      </c>
      <c r="H16" s="125"/>
      <c r="I16">
        <v>5</v>
      </c>
      <c r="Q16">
        <v>0</v>
      </c>
      <c r="R16">
        <v>0</v>
      </c>
      <c r="S16">
        <v>0</v>
      </c>
      <c r="T16">
        <v>0</v>
      </c>
      <c r="U16" s="125" t="s">
        <v>73</v>
      </c>
      <c r="V16">
        <v>0</v>
      </c>
      <c r="W16">
        <v>0</v>
      </c>
      <c r="X16">
        <v>0</v>
      </c>
      <c r="Y16">
        <v>0</v>
      </c>
      <c r="Z16">
        <v>0</v>
      </c>
      <c r="AA16">
        <v>0</v>
      </c>
      <c r="AB16">
        <v>0</v>
      </c>
      <c r="AC16" s="125" t="s">
        <v>73</v>
      </c>
      <c r="AD16">
        <v>0</v>
      </c>
      <c r="AE16">
        <v>0</v>
      </c>
      <c r="AF16">
        <v>0</v>
      </c>
      <c r="AG16">
        <v>0</v>
      </c>
      <c r="AH16">
        <v>0</v>
      </c>
      <c r="AI16">
        <v>20</v>
      </c>
      <c r="AJ16">
        <v>9</v>
      </c>
      <c r="AK16" s="125" t="s">
        <v>73</v>
      </c>
      <c r="AL16" s="125" t="s">
        <v>73</v>
      </c>
      <c r="AM16" s="126" t="s">
        <v>73</v>
      </c>
      <c r="AN16" s="125" t="s">
        <v>297</v>
      </c>
      <c r="AO16" s="56">
        <v>46007.917592592596</v>
      </c>
      <c r="AP16" s="56">
        <v>46007.875925925924</v>
      </c>
      <c r="AQ16" s="125" t="s">
        <v>73</v>
      </c>
      <c r="AR16" s="125" t="s">
        <v>73</v>
      </c>
      <c r="AS16" s="125" t="s">
        <v>73</v>
      </c>
      <c r="AT16" s="125" t="s">
        <v>73</v>
      </c>
      <c r="AU16" s="125" t="s">
        <v>73</v>
      </c>
      <c r="AV16" s="125" t="s">
        <v>73</v>
      </c>
      <c r="AW16">
        <v>0</v>
      </c>
      <c r="AX16" s="125" t="s">
        <v>73</v>
      </c>
      <c r="AY16" s="125" t="s">
        <v>158</v>
      </c>
      <c r="AZ16" s="125" t="s">
        <v>158</v>
      </c>
      <c r="BA16" s="125" t="s">
        <v>158</v>
      </c>
      <c r="BB16"/>
      <c r="BC16"/>
    </row>
    <row r="17" spans="1:55" ht="16" x14ac:dyDescent="0.2">
      <c r="A17" s="125" t="s">
        <v>208</v>
      </c>
      <c r="B17" s="125" t="s">
        <v>260</v>
      </c>
      <c r="C17" s="125" t="s">
        <v>261</v>
      </c>
      <c r="D17" s="125" t="s">
        <v>73</v>
      </c>
      <c r="E17" s="125" t="s">
        <v>72</v>
      </c>
      <c r="F17" s="125" t="s">
        <v>72</v>
      </c>
      <c r="G17" s="125" t="s">
        <v>262</v>
      </c>
      <c r="H17" s="125"/>
      <c r="I17">
        <v>5</v>
      </c>
      <c r="J17">
        <v>6</v>
      </c>
      <c r="Q17">
        <v>0</v>
      </c>
      <c r="R17">
        <v>0</v>
      </c>
      <c r="S17">
        <v>0</v>
      </c>
      <c r="T17">
        <v>0</v>
      </c>
      <c r="U17" s="125" t="s">
        <v>73</v>
      </c>
      <c r="V17">
        <v>3</v>
      </c>
      <c r="W17">
        <v>18</v>
      </c>
      <c r="X17">
        <v>3</v>
      </c>
      <c r="Y17">
        <v>3</v>
      </c>
      <c r="Z17">
        <v>0</v>
      </c>
      <c r="AA17">
        <v>0</v>
      </c>
      <c r="AB17">
        <v>0</v>
      </c>
      <c r="AC17" s="125" t="s">
        <v>73</v>
      </c>
      <c r="AD17">
        <v>0</v>
      </c>
      <c r="AE17">
        <v>0</v>
      </c>
      <c r="AF17">
        <v>0</v>
      </c>
      <c r="AG17">
        <v>0</v>
      </c>
      <c r="AH17">
        <v>0</v>
      </c>
      <c r="AI17">
        <v>105</v>
      </c>
      <c r="AJ17">
        <v>30</v>
      </c>
      <c r="AK17" s="125" t="s">
        <v>72</v>
      </c>
      <c r="AL17" s="125" t="s">
        <v>73</v>
      </c>
      <c r="AM17" s="126" t="s">
        <v>73</v>
      </c>
      <c r="AN17" s="125" t="s">
        <v>263</v>
      </c>
      <c r="AO17" s="56">
        <v>46006.741284722222</v>
      </c>
      <c r="AP17" s="56">
        <v>46006.720034722224</v>
      </c>
      <c r="AQ17" s="125" t="s">
        <v>73</v>
      </c>
      <c r="AR17" s="125" t="s">
        <v>73</v>
      </c>
      <c r="AS17" s="125" t="s">
        <v>73</v>
      </c>
      <c r="AT17" s="125" t="s">
        <v>73</v>
      </c>
      <c r="AU17" s="125" t="s">
        <v>73</v>
      </c>
      <c r="AV17" s="125" t="s">
        <v>73</v>
      </c>
      <c r="AW17">
        <v>0</v>
      </c>
      <c r="AX17" s="125" t="s">
        <v>75</v>
      </c>
      <c r="AY17" s="125" t="s">
        <v>264</v>
      </c>
      <c r="AZ17" s="125" t="s">
        <v>265</v>
      </c>
      <c r="BA17" s="125" t="s">
        <v>266</v>
      </c>
      <c r="BB17"/>
      <c r="BC17"/>
    </row>
    <row r="18" spans="1:55" ht="32" x14ac:dyDescent="0.2">
      <c r="A18" s="125" t="s">
        <v>208</v>
      </c>
      <c r="B18" s="125" t="s">
        <v>267</v>
      </c>
      <c r="C18" s="125" t="s">
        <v>268</v>
      </c>
      <c r="D18" s="125" t="s">
        <v>73</v>
      </c>
      <c r="E18" s="125" t="s">
        <v>72</v>
      </c>
      <c r="F18" s="125" t="s">
        <v>72</v>
      </c>
      <c r="G18" s="125" t="s">
        <v>73</v>
      </c>
      <c r="H18" s="125"/>
      <c r="I18">
        <v>4</v>
      </c>
      <c r="N18">
        <v>4</v>
      </c>
      <c r="Q18">
        <v>0</v>
      </c>
      <c r="R18">
        <v>0</v>
      </c>
      <c r="S18">
        <v>0</v>
      </c>
      <c r="T18">
        <v>0</v>
      </c>
      <c r="U18" s="125" t="s">
        <v>73</v>
      </c>
      <c r="V18">
        <v>0</v>
      </c>
      <c r="W18">
        <v>0</v>
      </c>
      <c r="X18">
        <v>2</v>
      </c>
      <c r="Y18">
        <v>2</v>
      </c>
      <c r="Z18">
        <v>0</v>
      </c>
      <c r="AA18">
        <v>0</v>
      </c>
      <c r="AB18">
        <v>0</v>
      </c>
      <c r="AC18" s="125" t="s">
        <v>73</v>
      </c>
      <c r="AD18">
        <v>0</v>
      </c>
      <c r="AE18">
        <v>0</v>
      </c>
      <c r="AF18">
        <v>0</v>
      </c>
      <c r="AG18">
        <v>0</v>
      </c>
      <c r="AH18">
        <v>0</v>
      </c>
      <c r="AI18">
        <v>25</v>
      </c>
      <c r="AJ18">
        <v>0</v>
      </c>
      <c r="AK18" s="125" t="s">
        <v>73</v>
      </c>
      <c r="AL18" s="125" t="s">
        <v>73</v>
      </c>
      <c r="AM18" s="126" t="s">
        <v>269</v>
      </c>
      <c r="AN18" s="125" t="s">
        <v>270</v>
      </c>
      <c r="AO18" s="56">
        <v>46005.913182870368</v>
      </c>
      <c r="AP18" s="56">
        <v>46005.871516203704</v>
      </c>
      <c r="AQ18" s="125" t="s">
        <v>73</v>
      </c>
      <c r="AR18" s="125" t="s">
        <v>73</v>
      </c>
      <c r="AS18" s="125" t="s">
        <v>73</v>
      </c>
      <c r="AT18" s="125" t="s">
        <v>73</v>
      </c>
      <c r="AU18" s="125" t="s">
        <v>73</v>
      </c>
      <c r="AV18" s="125" t="s">
        <v>73</v>
      </c>
      <c r="AW18">
        <v>0</v>
      </c>
      <c r="AX18" s="125" t="s">
        <v>73</v>
      </c>
      <c r="AY18" s="125" t="s">
        <v>158</v>
      </c>
      <c r="AZ18" s="125" t="s">
        <v>158</v>
      </c>
      <c r="BA18" s="125" t="s">
        <v>158</v>
      </c>
      <c r="BB18"/>
      <c r="BC18"/>
    </row>
    <row r="19" spans="1:55" ht="16" x14ac:dyDescent="0.2">
      <c r="A19" s="125" t="s">
        <v>208</v>
      </c>
      <c r="B19" s="125" t="s">
        <v>232</v>
      </c>
      <c r="C19" s="125" t="s">
        <v>233</v>
      </c>
      <c r="D19" s="125" t="s">
        <v>72</v>
      </c>
      <c r="E19" s="125" t="s">
        <v>72</v>
      </c>
      <c r="F19" s="125" t="s">
        <v>73</v>
      </c>
      <c r="G19" s="125" t="s">
        <v>72</v>
      </c>
      <c r="H19" s="125" t="s">
        <v>72</v>
      </c>
      <c r="I19">
        <v>6</v>
      </c>
      <c r="Q19">
        <v>0</v>
      </c>
      <c r="R19">
        <v>0</v>
      </c>
      <c r="S19">
        <v>0</v>
      </c>
      <c r="T19">
        <v>0</v>
      </c>
      <c r="U19" s="125" t="s">
        <v>73</v>
      </c>
      <c r="V19">
        <v>5</v>
      </c>
      <c r="W19">
        <v>9</v>
      </c>
      <c r="X19">
        <v>2</v>
      </c>
      <c r="Y19">
        <v>2</v>
      </c>
      <c r="Z19">
        <v>0</v>
      </c>
      <c r="AA19">
        <v>0</v>
      </c>
      <c r="AB19">
        <v>0</v>
      </c>
      <c r="AC19" s="125" t="s">
        <v>73</v>
      </c>
      <c r="AD19">
        <v>0</v>
      </c>
      <c r="AE19">
        <v>0</v>
      </c>
      <c r="AF19">
        <v>0</v>
      </c>
      <c r="AG19">
        <v>0</v>
      </c>
      <c r="AH19">
        <v>0</v>
      </c>
      <c r="AI19">
        <v>60</v>
      </c>
      <c r="AJ19">
        <v>15</v>
      </c>
      <c r="AK19" s="125" t="s">
        <v>72</v>
      </c>
      <c r="AL19" s="125" t="s">
        <v>73</v>
      </c>
      <c r="AM19" s="126" t="s">
        <v>73</v>
      </c>
      <c r="AN19" s="125" t="s">
        <v>234</v>
      </c>
      <c r="AO19" s="56">
        <v>46003.884305555555</v>
      </c>
      <c r="AP19" s="56">
        <v>46003.842638888891</v>
      </c>
      <c r="AQ19" s="125" t="s">
        <v>73</v>
      </c>
      <c r="AR19" s="125" t="s">
        <v>73</v>
      </c>
      <c r="AS19" s="125" t="s">
        <v>73</v>
      </c>
      <c r="AT19" s="125" t="s">
        <v>73</v>
      </c>
      <c r="AU19" s="125" t="s">
        <v>73</v>
      </c>
      <c r="AV19" s="125" t="s">
        <v>73</v>
      </c>
      <c r="AW19">
        <v>0</v>
      </c>
      <c r="AX19" s="125" t="s">
        <v>75</v>
      </c>
      <c r="AY19" s="125" t="s">
        <v>235</v>
      </c>
      <c r="AZ19" s="125" t="s">
        <v>214</v>
      </c>
      <c r="BA19" s="125" t="s">
        <v>236</v>
      </c>
      <c r="BB19"/>
      <c r="BC19"/>
    </row>
    <row r="20" spans="1:55" ht="16" x14ac:dyDescent="0.2">
      <c r="A20" s="125" t="s">
        <v>208</v>
      </c>
      <c r="B20" s="125" t="s">
        <v>209</v>
      </c>
      <c r="C20" s="125" t="s">
        <v>210</v>
      </c>
      <c r="D20" s="125" t="s">
        <v>73</v>
      </c>
      <c r="E20" s="125" t="s">
        <v>72</v>
      </c>
      <c r="F20" s="125" t="s">
        <v>72</v>
      </c>
      <c r="G20" s="125" t="s">
        <v>72</v>
      </c>
      <c r="H20" s="125" t="s">
        <v>72</v>
      </c>
      <c r="I20">
        <v>8</v>
      </c>
      <c r="J20">
        <v>3</v>
      </c>
      <c r="N20">
        <v>4</v>
      </c>
      <c r="Q20">
        <v>3</v>
      </c>
      <c r="R20">
        <v>1</v>
      </c>
      <c r="S20">
        <v>2</v>
      </c>
      <c r="T20">
        <v>0</v>
      </c>
      <c r="U20" s="125" t="s">
        <v>73</v>
      </c>
      <c r="V20">
        <v>5</v>
      </c>
      <c r="W20">
        <v>20</v>
      </c>
      <c r="X20">
        <v>7</v>
      </c>
      <c r="Y20">
        <v>6</v>
      </c>
      <c r="Z20">
        <v>1</v>
      </c>
      <c r="AA20">
        <v>0</v>
      </c>
      <c r="AB20">
        <v>0</v>
      </c>
      <c r="AC20" s="125" t="s">
        <v>73</v>
      </c>
      <c r="AD20">
        <v>0</v>
      </c>
      <c r="AE20">
        <v>0</v>
      </c>
      <c r="AF20">
        <v>0</v>
      </c>
      <c r="AG20">
        <v>0</v>
      </c>
      <c r="AH20">
        <v>0</v>
      </c>
      <c r="AI20">
        <v>75</v>
      </c>
      <c r="AJ20">
        <v>27</v>
      </c>
      <c r="AK20" s="125" t="s">
        <v>72</v>
      </c>
      <c r="AL20" s="125" t="s">
        <v>73</v>
      </c>
      <c r="AM20" s="126" t="s">
        <v>73</v>
      </c>
      <c r="AN20" s="125" t="s">
        <v>211</v>
      </c>
      <c r="AO20" s="56">
        <v>46002.935590277775</v>
      </c>
      <c r="AP20" s="56">
        <v>46018.824548611112</v>
      </c>
      <c r="AQ20" s="125" t="s">
        <v>73</v>
      </c>
      <c r="AR20" s="125" t="s">
        <v>73</v>
      </c>
      <c r="AS20" s="125" t="s">
        <v>73</v>
      </c>
      <c r="AT20" s="125" t="s">
        <v>73</v>
      </c>
      <c r="AU20" s="125" t="s">
        <v>73</v>
      </c>
      <c r="AV20" s="125" t="s">
        <v>73</v>
      </c>
      <c r="AW20">
        <v>0</v>
      </c>
      <c r="AX20" s="125" t="s">
        <v>75</v>
      </c>
      <c r="AY20" s="125" t="s">
        <v>213</v>
      </c>
      <c r="AZ20" s="125" t="s">
        <v>214</v>
      </c>
      <c r="BA20" s="125" t="s">
        <v>215</v>
      </c>
      <c r="BB20"/>
      <c r="BC20"/>
    </row>
    <row r="21" spans="1:55" ht="16" x14ac:dyDescent="0.2">
      <c r="A21" s="125" t="s">
        <v>153</v>
      </c>
      <c r="B21" s="125" t="s">
        <v>295</v>
      </c>
      <c r="C21" s="125" t="s">
        <v>296</v>
      </c>
      <c r="D21" s="125" t="s">
        <v>73</v>
      </c>
      <c r="E21" s="125" t="s">
        <v>72</v>
      </c>
      <c r="F21" s="125" t="s">
        <v>72</v>
      </c>
      <c r="G21" s="125" t="s">
        <v>73</v>
      </c>
      <c r="H21" s="125"/>
      <c r="I21">
        <v>4</v>
      </c>
      <c r="Q21">
        <v>0</v>
      </c>
      <c r="R21">
        <v>0</v>
      </c>
      <c r="S21">
        <v>0</v>
      </c>
      <c r="T21">
        <v>0</v>
      </c>
      <c r="U21" s="125" t="s">
        <v>73</v>
      </c>
      <c r="V21">
        <v>0</v>
      </c>
      <c r="W21">
        <v>0</v>
      </c>
      <c r="X21">
        <v>0</v>
      </c>
      <c r="Y21">
        <v>0</v>
      </c>
      <c r="Z21">
        <v>0</v>
      </c>
      <c r="AA21">
        <v>0</v>
      </c>
      <c r="AB21">
        <v>0</v>
      </c>
      <c r="AC21" s="125" t="s">
        <v>73</v>
      </c>
      <c r="AD21">
        <v>0</v>
      </c>
      <c r="AE21">
        <v>0</v>
      </c>
      <c r="AF21">
        <v>0</v>
      </c>
      <c r="AG21">
        <v>0</v>
      </c>
      <c r="AH21">
        <v>0</v>
      </c>
      <c r="AI21">
        <v>15</v>
      </c>
      <c r="AJ21">
        <v>10</v>
      </c>
      <c r="AK21" s="125" t="s">
        <v>73</v>
      </c>
      <c r="AL21" s="125" t="s">
        <v>73</v>
      </c>
      <c r="AM21" s="126" t="s">
        <v>73</v>
      </c>
      <c r="AN21" s="125" t="s">
        <v>457</v>
      </c>
      <c r="AO21" s="56">
        <v>46022.69935185185</v>
      </c>
      <c r="AP21" s="56">
        <v>46022.657685185186</v>
      </c>
      <c r="AQ21" s="125" t="s">
        <v>73</v>
      </c>
      <c r="AR21" s="125" t="s">
        <v>73</v>
      </c>
      <c r="AS21" s="125" t="s">
        <v>73</v>
      </c>
      <c r="AT21" s="125" t="s">
        <v>73</v>
      </c>
      <c r="AU21" s="125" t="s">
        <v>73</v>
      </c>
      <c r="AV21" s="125" t="s">
        <v>73</v>
      </c>
      <c r="AW21">
        <v>0</v>
      </c>
      <c r="AX21" s="125" t="s">
        <v>73</v>
      </c>
      <c r="AY21" s="125" t="s">
        <v>158</v>
      </c>
      <c r="AZ21" s="125" t="s">
        <v>158</v>
      </c>
      <c r="BA21" s="125" t="s">
        <v>158</v>
      </c>
      <c r="BB21"/>
      <c r="BC21"/>
    </row>
    <row r="22" spans="1:55" ht="64" x14ac:dyDescent="0.2">
      <c r="A22" s="125" t="s">
        <v>153</v>
      </c>
      <c r="B22" s="125" t="s">
        <v>332</v>
      </c>
      <c r="C22" s="125" t="s">
        <v>333</v>
      </c>
      <c r="D22" s="125" t="s">
        <v>72</v>
      </c>
      <c r="E22" s="125" t="s">
        <v>73</v>
      </c>
      <c r="F22" s="125" t="s">
        <v>73</v>
      </c>
      <c r="G22" s="125" t="s">
        <v>73</v>
      </c>
      <c r="H22" s="125"/>
      <c r="Q22">
        <v>0</v>
      </c>
      <c r="R22">
        <v>0</v>
      </c>
      <c r="S22">
        <v>0</v>
      </c>
      <c r="T22">
        <v>0</v>
      </c>
      <c r="U22" s="125" t="s">
        <v>73</v>
      </c>
      <c r="V22">
        <v>0</v>
      </c>
      <c r="W22">
        <v>0</v>
      </c>
      <c r="X22">
        <v>0</v>
      </c>
      <c r="Y22">
        <v>0</v>
      </c>
      <c r="Z22">
        <v>0</v>
      </c>
      <c r="AA22">
        <v>0</v>
      </c>
      <c r="AB22">
        <v>0</v>
      </c>
      <c r="AC22" s="125" t="s">
        <v>73</v>
      </c>
      <c r="AD22">
        <v>0</v>
      </c>
      <c r="AE22">
        <v>0</v>
      </c>
      <c r="AF22">
        <v>0</v>
      </c>
      <c r="AG22">
        <v>0</v>
      </c>
      <c r="AH22">
        <v>0</v>
      </c>
      <c r="AI22">
        <v>10</v>
      </c>
      <c r="AJ22">
        <v>0</v>
      </c>
      <c r="AK22" s="125" t="s">
        <v>73</v>
      </c>
      <c r="AL22" s="125" t="s">
        <v>73</v>
      </c>
      <c r="AM22" s="126" t="s">
        <v>439</v>
      </c>
      <c r="AN22" s="125" t="s">
        <v>440</v>
      </c>
      <c r="AO22" s="56">
        <v>46020.842615740738</v>
      </c>
      <c r="AP22" s="56">
        <v>46020.894224537034</v>
      </c>
      <c r="AQ22" s="125" t="s">
        <v>73</v>
      </c>
      <c r="AR22" s="125" t="s">
        <v>73</v>
      </c>
      <c r="AS22" s="125" t="s">
        <v>73</v>
      </c>
      <c r="AT22" s="125" t="s">
        <v>73</v>
      </c>
      <c r="AU22" s="125" t="s">
        <v>73</v>
      </c>
      <c r="AV22" s="125" t="s">
        <v>73</v>
      </c>
      <c r="AW22">
        <v>0</v>
      </c>
      <c r="AX22" s="125" t="s">
        <v>73</v>
      </c>
      <c r="AY22" s="125" t="s">
        <v>158</v>
      </c>
      <c r="AZ22" s="125" t="s">
        <v>158</v>
      </c>
      <c r="BA22" s="125" t="s">
        <v>158</v>
      </c>
      <c r="BB22"/>
      <c r="BC22"/>
    </row>
    <row r="23" spans="1:55" ht="32" x14ac:dyDescent="0.2">
      <c r="A23" s="125" t="s">
        <v>153</v>
      </c>
      <c r="B23" s="125" t="s">
        <v>292</v>
      </c>
      <c r="C23" s="125" t="s">
        <v>293</v>
      </c>
      <c r="D23" s="125" t="s">
        <v>72</v>
      </c>
      <c r="E23" s="125" t="s">
        <v>73</v>
      </c>
      <c r="F23" s="125" t="s">
        <v>73</v>
      </c>
      <c r="G23" s="125" t="s">
        <v>72</v>
      </c>
      <c r="H23" s="125" t="s">
        <v>72</v>
      </c>
      <c r="I23">
        <v>6</v>
      </c>
      <c r="Q23">
        <v>0</v>
      </c>
      <c r="R23">
        <v>0</v>
      </c>
      <c r="S23">
        <v>0</v>
      </c>
      <c r="T23">
        <v>0</v>
      </c>
      <c r="U23" s="125" t="s">
        <v>73</v>
      </c>
      <c r="V23">
        <v>3</v>
      </c>
      <c r="W23">
        <v>8</v>
      </c>
      <c r="X23">
        <v>0</v>
      </c>
      <c r="Y23">
        <v>0</v>
      </c>
      <c r="Z23">
        <v>0</v>
      </c>
      <c r="AA23">
        <v>0</v>
      </c>
      <c r="AB23">
        <v>0</v>
      </c>
      <c r="AC23" s="125" t="s">
        <v>73</v>
      </c>
      <c r="AD23">
        <v>0</v>
      </c>
      <c r="AE23">
        <v>0</v>
      </c>
      <c r="AF23">
        <v>0</v>
      </c>
      <c r="AG23">
        <v>0</v>
      </c>
      <c r="AH23">
        <v>0</v>
      </c>
      <c r="AI23">
        <v>15</v>
      </c>
      <c r="AJ23">
        <v>5</v>
      </c>
      <c r="AK23" s="125" t="s">
        <v>73</v>
      </c>
      <c r="AL23" s="125" t="s">
        <v>73</v>
      </c>
      <c r="AM23" s="126" t="s">
        <v>425</v>
      </c>
      <c r="AN23" s="125" t="s">
        <v>426</v>
      </c>
      <c r="AO23" s="56">
        <v>46019.812615740739</v>
      </c>
      <c r="AP23" s="56">
        <v>46019.770949074074</v>
      </c>
      <c r="AQ23" s="125" t="s">
        <v>73</v>
      </c>
      <c r="AR23" s="125" t="s">
        <v>73</v>
      </c>
      <c r="AS23" s="125" t="s">
        <v>73</v>
      </c>
      <c r="AT23" s="125" t="s">
        <v>73</v>
      </c>
      <c r="AU23" s="125" t="s">
        <v>73</v>
      </c>
      <c r="AV23" s="125" t="s">
        <v>73</v>
      </c>
      <c r="AW23">
        <v>0</v>
      </c>
      <c r="AX23" s="125" t="s">
        <v>75</v>
      </c>
      <c r="AY23" s="125" t="s">
        <v>427</v>
      </c>
      <c r="AZ23" s="125" t="s">
        <v>245</v>
      </c>
      <c r="BA23" s="125" t="s">
        <v>428</v>
      </c>
      <c r="BB23"/>
      <c r="BC23"/>
    </row>
    <row r="24" spans="1:55" ht="16" x14ac:dyDescent="0.2">
      <c r="A24" s="125" t="s">
        <v>153</v>
      </c>
      <c r="B24" s="125" t="s">
        <v>412</v>
      </c>
      <c r="C24" s="125" t="s">
        <v>413</v>
      </c>
      <c r="D24" s="125" t="s">
        <v>73</v>
      </c>
      <c r="E24" s="125" t="s">
        <v>72</v>
      </c>
      <c r="F24" s="125" t="s">
        <v>72</v>
      </c>
      <c r="G24" s="125" t="s">
        <v>73</v>
      </c>
      <c r="H24" s="125"/>
      <c r="Q24">
        <v>0</v>
      </c>
      <c r="R24">
        <v>0</v>
      </c>
      <c r="S24">
        <v>0</v>
      </c>
      <c r="T24">
        <v>0</v>
      </c>
      <c r="U24" s="125" t="s">
        <v>73</v>
      </c>
      <c r="V24">
        <v>0</v>
      </c>
      <c r="W24">
        <v>0</v>
      </c>
      <c r="X24">
        <v>0</v>
      </c>
      <c r="Y24">
        <v>0</v>
      </c>
      <c r="Z24">
        <v>0</v>
      </c>
      <c r="AA24">
        <v>0</v>
      </c>
      <c r="AB24">
        <v>0</v>
      </c>
      <c r="AC24" s="125" t="s">
        <v>73</v>
      </c>
      <c r="AD24">
        <v>6</v>
      </c>
      <c r="AE24">
        <v>6</v>
      </c>
      <c r="AF24">
        <v>6</v>
      </c>
      <c r="AG24">
        <v>6</v>
      </c>
      <c r="AH24">
        <v>1</v>
      </c>
      <c r="AI24">
        <v>20</v>
      </c>
      <c r="AJ24">
        <v>4</v>
      </c>
      <c r="AK24" s="125" t="s">
        <v>73</v>
      </c>
      <c r="AL24" s="125" t="s">
        <v>73</v>
      </c>
      <c r="AM24" s="126" t="s">
        <v>73</v>
      </c>
      <c r="AN24" s="125" t="s">
        <v>414</v>
      </c>
      <c r="AO24" s="56">
        <v>46019.467060185183</v>
      </c>
      <c r="AP24" s="56">
        <v>46019.425393518519</v>
      </c>
      <c r="AQ24" s="125" t="s">
        <v>73</v>
      </c>
      <c r="AR24" s="125" t="s">
        <v>73</v>
      </c>
      <c r="AS24" s="125" t="s">
        <v>73</v>
      </c>
      <c r="AT24" s="125" t="s">
        <v>73</v>
      </c>
      <c r="AU24" s="125" t="s">
        <v>73</v>
      </c>
      <c r="AV24" s="125" t="s">
        <v>73</v>
      </c>
      <c r="AW24">
        <v>0</v>
      </c>
      <c r="AX24" s="125" t="s">
        <v>73</v>
      </c>
      <c r="AY24" s="125" t="s">
        <v>158</v>
      </c>
      <c r="AZ24" s="125" t="s">
        <v>158</v>
      </c>
      <c r="BA24" s="125" t="s">
        <v>158</v>
      </c>
      <c r="BB24"/>
      <c r="BC24"/>
    </row>
    <row r="25" spans="1:55" ht="16" x14ac:dyDescent="0.2">
      <c r="A25" s="125" t="s">
        <v>153</v>
      </c>
      <c r="B25" s="125" t="s">
        <v>403</v>
      </c>
      <c r="C25" s="125" t="s">
        <v>404</v>
      </c>
      <c r="D25" s="125" t="s">
        <v>73</v>
      </c>
      <c r="E25" s="125" t="s">
        <v>72</v>
      </c>
      <c r="F25" s="125" t="s">
        <v>72</v>
      </c>
      <c r="G25" s="125" t="s">
        <v>73</v>
      </c>
      <c r="H25" s="125"/>
      <c r="I25">
        <v>8</v>
      </c>
      <c r="N25">
        <v>4</v>
      </c>
      <c r="Q25">
        <v>2</v>
      </c>
      <c r="R25">
        <v>2</v>
      </c>
      <c r="S25">
        <v>0</v>
      </c>
      <c r="T25">
        <v>0</v>
      </c>
      <c r="U25" s="125" t="s">
        <v>72</v>
      </c>
      <c r="V25">
        <v>0</v>
      </c>
      <c r="W25">
        <v>0</v>
      </c>
      <c r="X25">
        <v>3</v>
      </c>
      <c r="Y25">
        <v>3</v>
      </c>
      <c r="Z25">
        <v>0</v>
      </c>
      <c r="AA25">
        <v>0</v>
      </c>
      <c r="AB25">
        <v>0</v>
      </c>
      <c r="AC25" s="125" t="s">
        <v>73</v>
      </c>
      <c r="AD25">
        <v>6</v>
      </c>
      <c r="AE25">
        <v>6</v>
      </c>
      <c r="AF25">
        <v>0</v>
      </c>
      <c r="AG25">
        <v>6</v>
      </c>
      <c r="AH25">
        <v>1</v>
      </c>
      <c r="AI25">
        <v>65</v>
      </c>
      <c r="AJ25">
        <v>5</v>
      </c>
      <c r="AK25" s="125" t="s">
        <v>73</v>
      </c>
      <c r="AL25" s="125" t="s">
        <v>73</v>
      </c>
      <c r="AM25" s="126" t="s">
        <v>73</v>
      </c>
      <c r="AN25" s="125" t="s">
        <v>405</v>
      </c>
      <c r="AO25" s="56">
        <v>46018.568622685183</v>
      </c>
      <c r="AP25" s="56">
        <v>46018.526956018519</v>
      </c>
      <c r="AQ25" s="125" t="s">
        <v>404</v>
      </c>
      <c r="AR25" s="125" t="s">
        <v>78</v>
      </c>
      <c r="AS25" s="125" t="s">
        <v>179</v>
      </c>
      <c r="AT25" s="125" t="s">
        <v>219</v>
      </c>
      <c r="AU25" s="125" t="s">
        <v>406</v>
      </c>
      <c r="AV25" s="125" t="s">
        <v>406</v>
      </c>
      <c r="AW25">
        <v>35</v>
      </c>
      <c r="AX25" s="125" t="s">
        <v>73</v>
      </c>
      <c r="AY25" s="125" t="s">
        <v>158</v>
      </c>
      <c r="AZ25" s="125" t="s">
        <v>158</v>
      </c>
      <c r="BA25" s="125" t="s">
        <v>158</v>
      </c>
      <c r="BB25"/>
      <c r="BC25"/>
    </row>
    <row r="26" spans="1:55" ht="16" x14ac:dyDescent="0.2">
      <c r="A26" s="125" t="s">
        <v>153</v>
      </c>
      <c r="B26" s="125" t="s">
        <v>355</v>
      </c>
      <c r="C26" s="125" t="s">
        <v>356</v>
      </c>
      <c r="D26" s="125" t="s">
        <v>73</v>
      </c>
      <c r="E26" s="125" t="s">
        <v>72</v>
      </c>
      <c r="F26" s="125" t="s">
        <v>72</v>
      </c>
      <c r="G26" s="125" t="s">
        <v>73</v>
      </c>
      <c r="H26" s="125"/>
      <c r="I26">
        <v>6</v>
      </c>
      <c r="L26">
        <v>7</v>
      </c>
      <c r="Q26">
        <v>0</v>
      </c>
      <c r="R26">
        <v>0</v>
      </c>
      <c r="S26">
        <v>0</v>
      </c>
      <c r="T26">
        <v>0</v>
      </c>
      <c r="U26" s="125" t="s">
        <v>73</v>
      </c>
      <c r="V26">
        <v>0</v>
      </c>
      <c r="W26">
        <v>0</v>
      </c>
      <c r="X26">
        <v>4</v>
      </c>
      <c r="Y26">
        <v>4</v>
      </c>
      <c r="Z26">
        <v>0</v>
      </c>
      <c r="AA26">
        <v>0</v>
      </c>
      <c r="AB26">
        <v>0</v>
      </c>
      <c r="AC26" s="125" t="s">
        <v>72</v>
      </c>
      <c r="AD26">
        <v>4</v>
      </c>
      <c r="AE26">
        <v>4</v>
      </c>
      <c r="AF26">
        <v>0</v>
      </c>
      <c r="AG26">
        <v>0</v>
      </c>
      <c r="AH26">
        <v>0</v>
      </c>
      <c r="AI26">
        <v>80</v>
      </c>
      <c r="AJ26">
        <v>16</v>
      </c>
      <c r="AK26" s="125" t="s">
        <v>73</v>
      </c>
      <c r="AL26" s="125" t="s">
        <v>73</v>
      </c>
      <c r="AM26" s="126" t="s">
        <v>73</v>
      </c>
      <c r="AN26" s="125" t="s">
        <v>373</v>
      </c>
      <c r="AO26" s="56">
        <v>46015.467453703706</v>
      </c>
      <c r="AP26" s="56">
        <v>46020.429606481484</v>
      </c>
      <c r="AQ26" s="125" t="s">
        <v>73</v>
      </c>
      <c r="AR26" s="125" t="s">
        <v>73</v>
      </c>
      <c r="AS26" s="125" t="s">
        <v>73</v>
      </c>
      <c r="AT26" s="125" t="s">
        <v>73</v>
      </c>
      <c r="AU26" s="125" t="s">
        <v>73</v>
      </c>
      <c r="AV26" s="125" t="s">
        <v>73</v>
      </c>
      <c r="AW26">
        <v>0</v>
      </c>
      <c r="AX26" s="125" t="s">
        <v>73</v>
      </c>
      <c r="AY26" s="125" t="s">
        <v>158</v>
      </c>
      <c r="AZ26" s="125" t="s">
        <v>158</v>
      </c>
      <c r="BA26" s="125" t="s">
        <v>158</v>
      </c>
      <c r="BB26"/>
      <c r="BC26"/>
    </row>
    <row r="27" spans="1:55" ht="16" x14ac:dyDescent="0.2">
      <c r="A27" s="125" t="s">
        <v>153</v>
      </c>
      <c r="B27" s="125" t="s">
        <v>206</v>
      </c>
      <c r="C27" s="125" t="s">
        <v>207</v>
      </c>
      <c r="D27" s="125" t="s">
        <v>73</v>
      </c>
      <c r="E27" s="125" t="s">
        <v>72</v>
      </c>
      <c r="F27" s="125" t="s">
        <v>72</v>
      </c>
      <c r="G27" s="125" t="s">
        <v>262</v>
      </c>
      <c r="H27" s="125"/>
      <c r="I27">
        <v>7</v>
      </c>
      <c r="J27">
        <v>3</v>
      </c>
      <c r="Q27">
        <v>1</v>
      </c>
      <c r="R27">
        <v>1</v>
      </c>
      <c r="S27">
        <v>0</v>
      </c>
      <c r="T27">
        <v>0</v>
      </c>
      <c r="U27" s="125" t="s">
        <v>73</v>
      </c>
      <c r="V27">
        <v>7</v>
      </c>
      <c r="W27">
        <v>10</v>
      </c>
      <c r="X27">
        <v>0</v>
      </c>
      <c r="Y27">
        <v>0</v>
      </c>
      <c r="Z27">
        <v>0</v>
      </c>
      <c r="AA27">
        <v>0</v>
      </c>
      <c r="AB27">
        <v>0</v>
      </c>
      <c r="AC27" s="125" t="s">
        <v>73</v>
      </c>
      <c r="AD27">
        <v>6</v>
      </c>
      <c r="AE27">
        <v>6</v>
      </c>
      <c r="AF27">
        <v>0</v>
      </c>
      <c r="AG27">
        <v>6</v>
      </c>
      <c r="AH27">
        <v>4</v>
      </c>
      <c r="AI27">
        <v>45</v>
      </c>
      <c r="AJ27">
        <v>16</v>
      </c>
      <c r="AK27" s="125" t="s">
        <v>73</v>
      </c>
      <c r="AL27" s="125" t="s">
        <v>73</v>
      </c>
      <c r="AM27" s="126" t="s">
        <v>73</v>
      </c>
      <c r="AN27" s="125" t="s">
        <v>374</v>
      </c>
      <c r="AO27" s="56">
        <v>46014.895694444444</v>
      </c>
      <c r="AP27" s="56">
        <v>46014.87027777778</v>
      </c>
      <c r="AQ27" s="125" t="s">
        <v>73</v>
      </c>
      <c r="AR27" s="125" t="s">
        <v>73</v>
      </c>
      <c r="AS27" s="125" t="s">
        <v>73</v>
      </c>
      <c r="AT27" s="125" t="s">
        <v>73</v>
      </c>
      <c r="AU27" s="125" t="s">
        <v>73</v>
      </c>
      <c r="AV27" s="125" t="s">
        <v>73</v>
      </c>
      <c r="AW27">
        <v>0</v>
      </c>
      <c r="AX27" s="125" t="s">
        <v>75</v>
      </c>
      <c r="AY27" s="125" t="s">
        <v>375</v>
      </c>
      <c r="AZ27" s="125" t="s">
        <v>376</v>
      </c>
      <c r="BA27" s="125" t="s">
        <v>377</v>
      </c>
      <c r="BB27"/>
      <c r="BC27"/>
    </row>
    <row r="28" spans="1:55" ht="16" x14ac:dyDescent="0.2">
      <c r="A28" s="125" t="s">
        <v>153</v>
      </c>
      <c r="B28" s="125" t="s">
        <v>378</v>
      </c>
      <c r="C28" s="125" t="s">
        <v>379</v>
      </c>
      <c r="D28" s="125" t="s">
        <v>73</v>
      </c>
      <c r="E28" s="125" t="s">
        <v>72</v>
      </c>
      <c r="F28" s="125" t="s">
        <v>73</v>
      </c>
      <c r="G28" s="125" t="s">
        <v>73</v>
      </c>
      <c r="H28" s="125"/>
      <c r="I28">
        <v>6</v>
      </c>
      <c r="Q28">
        <v>0</v>
      </c>
      <c r="R28">
        <v>0</v>
      </c>
      <c r="S28">
        <v>0</v>
      </c>
      <c r="T28">
        <v>0</v>
      </c>
      <c r="U28" s="125" t="s">
        <v>73</v>
      </c>
      <c r="V28">
        <v>0</v>
      </c>
      <c r="W28">
        <v>0</v>
      </c>
      <c r="X28">
        <v>0</v>
      </c>
      <c r="Y28">
        <v>0</v>
      </c>
      <c r="Z28">
        <v>0</v>
      </c>
      <c r="AA28">
        <v>0</v>
      </c>
      <c r="AB28">
        <v>0</v>
      </c>
      <c r="AC28" s="125" t="s">
        <v>73</v>
      </c>
      <c r="AD28">
        <v>4</v>
      </c>
      <c r="AE28">
        <v>0</v>
      </c>
      <c r="AF28">
        <v>0</v>
      </c>
      <c r="AG28">
        <v>0</v>
      </c>
      <c r="AH28">
        <v>0</v>
      </c>
      <c r="AI28">
        <v>25</v>
      </c>
      <c r="AJ28">
        <v>2</v>
      </c>
      <c r="AK28" s="125" t="s">
        <v>73</v>
      </c>
      <c r="AL28" s="125" t="s">
        <v>73</v>
      </c>
      <c r="AM28" s="126" t="s">
        <v>73</v>
      </c>
      <c r="AN28" s="125" t="s">
        <v>380</v>
      </c>
      <c r="AO28" s="56">
        <v>46014.850069444445</v>
      </c>
      <c r="AP28" s="56">
        <v>46014.80840277778</v>
      </c>
      <c r="AQ28" s="125" t="s">
        <v>73</v>
      </c>
      <c r="AR28" s="125" t="s">
        <v>73</v>
      </c>
      <c r="AS28" s="125" t="s">
        <v>73</v>
      </c>
      <c r="AT28" s="125" t="s">
        <v>73</v>
      </c>
      <c r="AU28" s="125" t="s">
        <v>73</v>
      </c>
      <c r="AV28" s="125" t="s">
        <v>73</v>
      </c>
      <c r="AW28">
        <v>0</v>
      </c>
      <c r="AX28" s="125" t="s">
        <v>73</v>
      </c>
      <c r="AY28" s="125" t="s">
        <v>158</v>
      </c>
      <c r="AZ28" s="125" t="s">
        <v>158</v>
      </c>
      <c r="BA28" s="125" t="s">
        <v>158</v>
      </c>
      <c r="BB28"/>
      <c r="BC28"/>
    </row>
    <row r="29" spans="1:55" ht="16" x14ac:dyDescent="0.2">
      <c r="A29" s="125" t="s">
        <v>153</v>
      </c>
      <c r="B29" s="125" t="s">
        <v>381</v>
      </c>
      <c r="C29" s="125" t="s">
        <v>382</v>
      </c>
      <c r="D29" s="125" t="s">
        <v>73</v>
      </c>
      <c r="E29" s="125" t="s">
        <v>72</v>
      </c>
      <c r="F29" s="125" t="s">
        <v>72</v>
      </c>
      <c r="G29" s="125" t="s">
        <v>73</v>
      </c>
      <c r="H29" s="125"/>
      <c r="I29">
        <v>5</v>
      </c>
      <c r="Q29">
        <v>0</v>
      </c>
      <c r="R29">
        <v>0</v>
      </c>
      <c r="S29">
        <v>0</v>
      </c>
      <c r="T29">
        <v>0</v>
      </c>
      <c r="U29" s="125" t="s">
        <v>72</v>
      </c>
      <c r="V29">
        <v>0</v>
      </c>
      <c r="W29">
        <v>0</v>
      </c>
      <c r="X29">
        <v>0</v>
      </c>
      <c r="Y29">
        <v>0</v>
      </c>
      <c r="Z29">
        <v>0</v>
      </c>
      <c r="AA29">
        <v>0</v>
      </c>
      <c r="AB29">
        <v>0</v>
      </c>
      <c r="AC29" s="125" t="s">
        <v>73</v>
      </c>
      <c r="AD29">
        <v>6</v>
      </c>
      <c r="AE29">
        <v>6</v>
      </c>
      <c r="AF29">
        <v>0</v>
      </c>
      <c r="AG29">
        <v>6</v>
      </c>
      <c r="AH29">
        <v>0</v>
      </c>
      <c r="AI29">
        <v>45</v>
      </c>
      <c r="AJ29">
        <v>0</v>
      </c>
      <c r="AK29" s="125" t="s">
        <v>73</v>
      </c>
      <c r="AL29" s="125" t="s">
        <v>73</v>
      </c>
      <c r="AM29" s="126" t="s">
        <v>73</v>
      </c>
      <c r="AN29" s="125" t="s">
        <v>383</v>
      </c>
      <c r="AO29" s="56">
        <v>46014.804375</v>
      </c>
      <c r="AP29" s="56">
        <v>46014.762708333335</v>
      </c>
      <c r="AQ29" s="125" t="s">
        <v>382</v>
      </c>
      <c r="AR29" s="125" t="s">
        <v>78</v>
      </c>
      <c r="AS29" s="125" t="s">
        <v>76</v>
      </c>
      <c r="AT29" s="125" t="s">
        <v>77</v>
      </c>
      <c r="AU29" s="125" t="s">
        <v>384</v>
      </c>
      <c r="AV29" s="125" t="s">
        <v>385</v>
      </c>
      <c r="AW29">
        <v>30</v>
      </c>
      <c r="AX29" s="125" t="s">
        <v>73</v>
      </c>
      <c r="AY29" s="125" t="s">
        <v>158</v>
      </c>
      <c r="AZ29" s="125" t="s">
        <v>158</v>
      </c>
      <c r="BA29" s="125" t="s">
        <v>158</v>
      </c>
      <c r="BB29"/>
      <c r="BC29"/>
    </row>
    <row r="30" spans="1:55" ht="32" x14ac:dyDescent="0.2">
      <c r="A30" s="125" t="s">
        <v>153</v>
      </c>
      <c r="B30" s="125" t="s">
        <v>324</v>
      </c>
      <c r="C30" s="125" t="s">
        <v>325</v>
      </c>
      <c r="D30" s="125" t="s">
        <v>73</v>
      </c>
      <c r="E30" s="125" t="s">
        <v>72</v>
      </c>
      <c r="F30" s="125" t="s">
        <v>72</v>
      </c>
      <c r="G30" s="125" t="s">
        <v>73</v>
      </c>
      <c r="H30" s="125"/>
      <c r="I30">
        <v>6</v>
      </c>
      <c r="Q30">
        <v>3</v>
      </c>
      <c r="R30">
        <v>2</v>
      </c>
      <c r="S30">
        <v>1</v>
      </c>
      <c r="T30">
        <v>0</v>
      </c>
      <c r="U30" s="125" t="s">
        <v>72</v>
      </c>
      <c r="V30">
        <v>0</v>
      </c>
      <c r="W30">
        <v>0</v>
      </c>
      <c r="X30">
        <v>0</v>
      </c>
      <c r="Y30">
        <v>0</v>
      </c>
      <c r="Z30">
        <v>0</v>
      </c>
      <c r="AA30">
        <v>0</v>
      </c>
      <c r="AB30">
        <v>0</v>
      </c>
      <c r="AC30" s="125" t="s">
        <v>72</v>
      </c>
      <c r="AD30">
        <v>6</v>
      </c>
      <c r="AE30">
        <v>6</v>
      </c>
      <c r="AF30">
        <v>0</v>
      </c>
      <c r="AG30">
        <v>6</v>
      </c>
      <c r="AH30">
        <v>0</v>
      </c>
      <c r="AI30">
        <v>55</v>
      </c>
      <c r="AJ30">
        <v>1</v>
      </c>
      <c r="AK30" s="125" t="s">
        <v>73</v>
      </c>
      <c r="AL30" s="125" t="s">
        <v>73</v>
      </c>
      <c r="AM30" s="126" t="s">
        <v>326</v>
      </c>
      <c r="AN30" s="125" t="s">
        <v>327</v>
      </c>
      <c r="AO30" s="56">
        <v>46011.823935185188</v>
      </c>
      <c r="AP30" s="56">
        <v>46011.782268518517</v>
      </c>
      <c r="AQ30" s="125" t="s">
        <v>325</v>
      </c>
      <c r="AR30" s="125" t="s">
        <v>78</v>
      </c>
      <c r="AS30" s="125" t="s">
        <v>179</v>
      </c>
      <c r="AT30" s="125" t="s">
        <v>77</v>
      </c>
      <c r="AU30" s="125" t="s">
        <v>328</v>
      </c>
      <c r="AV30" s="125" t="s">
        <v>329</v>
      </c>
      <c r="AW30">
        <v>35</v>
      </c>
      <c r="AX30" s="125" t="s">
        <v>73</v>
      </c>
      <c r="AY30" s="125" t="s">
        <v>158</v>
      </c>
      <c r="AZ30" s="125" t="s">
        <v>158</v>
      </c>
      <c r="BA30" s="125" t="s">
        <v>158</v>
      </c>
      <c r="BB30"/>
      <c r="BC30"/>
    </row>
    <row r="31" spans="1:55" ht="64" x14ac:dyDescent="0.2">
      <c r="A31" s="125" t="s">
        <v>153</v>
      </c>
      <c r="B31" s="125" t="s">
        <v>306</v>
      </c>
      <c r="C31" s="125" t="s">
        <v>307</v>
      </c>
      <c r="D31" s="125" t="s">
        <v>73</v>
      </c>
      <c r="E31" s="125" t="s">
        <v>72</v>
      </c>
      <c r="F31" s="125" t="s">
        <v>72</v>
      </c>
      <c r="G31" s="125" t="s">
        <v>72</v>
      </c>
      <c r="H31" s="125" t="s">
        <v>72</v>
      </c>
      <c r="I31">
        <v>10</v>
      </c>
      <c r="L31">
        <v>13</v>
      </c>
      <c r="M31">
        <v>0</v>
      </c>
      <c r="Q31">
        <v>0</v>
      </c>
      <c r="R31">
        <v>0</v>
      </c>
      <c r="S31">
        <v>0</v>
      </c>
      <c r="T31">
        <v>0</v>
      </c>
      <c r="U31" s="125" t="s">
        <v>72</v>
      </c>
      <c r="V31">
        <v>6</v>
      </c>
      <c r="W31">
        <v>11</v>
      </c>
      <c r="X31">
        <v>1</v>
      </c>
      <c r="Y31">
        <v>1</v>
      </c>
      <c r="Z31">
        <v>0</v>
      </c>
      <c r="AA31">
        <v>0</v>
      </c>
      <c r="AB31">
        <v>0</v>
      </c>
      <c r="AC31" s="125" t="s">
        <v>72</v>
      </c>
      <c r="AD31">
        <v>6</v>
      </c>
      <c r="AE31">
        <v>0</v>
      </c>
      <c r="AF31">
        <v>0</v>
      </c>
      <c r="AG31">
        <v>6</v>
      </c>
      <c r="AH31">
        <v>0</v>
      </c>
      <c r="AI31">
        <v>12</v>
      </c>
      <c r="AJ31">
        <v>1</v>
      </c>
      <c r="AK31" s="125" t="s">
        <v>73</v>
      </c>
      <c r="AL31" s="125" t="s">
        <v>73</v>
      </c>
      <c r="AM31" s="126" t="s">
        <v>308</v>
      </c>
      <c r="AN31" s="125" t="s">
        <v>309</v>
      </c>
      <c r="AO31" s="56">
        <v>46011.564583333333</v>
      </c>
      <c r="AP31" s="56">
        <v>46011.522916666669</v>
      </c>
      <c r="AQ31" s="125" t="s">
        <v>307</v>
      </c>
      <c r="AR31" s="125" t="s">
        <v>307</v>
      </c>
      <c r="AS31" s="125" t="s">
        <v>179</v>
      </c>
      <c r="AT31" s="125" t="s">
        <v>77</v>
      </c>
      <c r="AU31" s="125" t="s">
        <v>310</v>
      </c>
      <c r="AV31" s="125" t="s">
        <v>311</v>
      </c>
      <c r="AW31">
        <v>50</v>
      </c>
      <c r="AX31" s="125" t="s">
        <v>75</v>
      </c>
      <c r="AY31" s="125" t="s">
        <v>312</v>
      </c>
      <c r="AZ31" s="125" t="s">
        <v>313</v>
      </c>
      <c r="BA31" s="125" t="s">
        <v>314</v>
      </c>
      <c r="BB31"/>
      <c r="BC31"/>
    </row>
    <row r="32" spans="1:55" ht="16" x14ac:dyDescent="0.2">
      <c r="A32" s="125" t="s">
        <v>153</v>
      </c>
      <c r="B32" s="125" t="s">
        <v>315</v>
      </c>
      <c r="C32" s="125" t="s">
        <v>316</v>
      </c>
      <c r="D32" s="125" t="s">
        <v>73</v>
      </c>
      <c r="E32" s="125" t="s">
        <v>72</v>
      </c>
      <c r="F32" s="125" t="s">
        <v>72</v>
      </c>
      <c r="G32" s="125" t="s">
        <v>73</v>
      </c>
      <c r="H32" s="125"/>
      <c r="I32">
        <v>5</v>
      </c>
      <c r="Q32">
        <v>0</v>
      </c>
      <c r="R32">
        <v>0</v>
      </c>
      <c r="S32">
        <v>0</v>
      </c>
      <c r="T32">
        <v>0</v>
      </c>
      <c r="U32" s="125" t="s">
        <v>73</v>
      </c>
      <c r="V32">
        <v>0</v>
      </c>
      <c r="W32">
        <v>0</v>
      </c>
      <c r="X32">
        <v>0</v>
      </c>
      <c r="Y32">
        <v>0</v>
      </c>
      <c r="Z32">
        <v>0</v>
      </c>
      <c r="AA32">
        <v>0</v>
      </c>
      <c r="AB32">
        <v>0</v>
      </c>
      <c r="AC32" s="125" t="s">
        <v>73</v>
      </c>
      <c r="AD32">
        <v>4</v>
      </c>
      <c r="AE32">
        <v>4</v>
      </c>
      <c r="AF32">
        <v>0</v>
      </c>
      <c r="AG32">
        <v>4</v>
      </c>
      <c r="AH32">
        <v>0</v>
      </c>
      <c r="AI32">
        <v>25</v>
      </c>
      <c r="AJ32">
        <v>0</v>
      </c>
      <c r="AK32" s="125" t="s">
        <v>73</v>
      </c>
      <c r="AL32" s="125" t="s">
        <v>73</v>
      </c>
      <c r="AM32" s="126" t="s">
        <v>73</v>
      </c>
      <c r="AN32" s="125" t="s">
        <v>317</v>
      </c>
      <c r="AO32" s="56">
        <v>46009.863923611112</v>
      </c>
      <c r="AP32" s="56">
        <v>46009.822256944448</v>
      </c>
      <c r="AQ32" s="125" t="s">
        <v>73</v>
      </c>
      <c r="AR32" s="125" t="s">
        <v>73</v>
      </c>
      <c r="AS32" s="125" t="s">
        <v>73</v>
      </c>
      <c r="AT32" s="125" t="s">
        <v>73</v>
      </c>
      <c r="AU32" s="125" t="s">
        <v>73</v>
      </c>
      <c r="AV32" s="125" t="s">
        <v>73</v>
      </c>
      <c r="AW32">
        <v>0</v>
      </c>
      <c r="AX32" s="125" t="s">
        <v>73</v>
      </c>
      <c r="AY32" s="125" t="s">
        <v>158</v>
      </c>
      <c r="AZ32" s="125" t="s">
        <v>158</v>
      </c>
      <c r="BA32" s="125" t="s">
        <v>158</v>
      </c>
      <c r="BB32"/>
      <c r="BC32"/>
    </row>
    <row r="33" spans="1:55" ht="16" x14ac:dyDescent="0.2">
      <c r="A33" s="125" t="s">
        <v>153</v>
      </c>
      <c r="B33" s="125" t="s">
        <v>267</v>
      </c>
      <c r="C33" s="125" t="s">
        <v>268</v>
      </c>
      <c r="D33" s="125" t="s">
        <v>73</v>
      </c>
      <c r="E33" s="125" t="s">
        <v>72</v>
      </c>
      <c r="F33" s="125" t="s">
        <v>72</v>
      </c>
      <c r="G33" s="125" t="s">
        <v>73</v>
      </c>
      <c r="H33" s="125"/>
      <c r="Q33">
        <v>0</v>
      </c>
      <c r="R33">
        <v>0</v>
      </c>
      <c r="S33">
        <v>0</v>
      </c>
      <c r="T33">
        <v>0</v>
      </c>
      <c r="U33" s="125" t="s">
        <v>73</v>
      </c>
      <c r="V33">
        <v>0</v>
      </c>
      <c r="W33">
        <v>0</v>
      </c>
      <c r="X33">
        <v>2</v>
      </c>
      <c r="Y33">
        <v>2</v>
      </c>
      <c r="Z33">
        <v>0</v>
      </c>
      <c r="AA33">
        <v>0</v>
      </c>
      <c r="AB33">
        <v>0</v>
      </c>
      <c r="AC33" s="125" t="s">
        <v>73</v>
      </c>
      <c r="AD33">
        <v>6</v>
      </c>
      <c r="AE33">
        <v>6</v>
      </c>
      <c r="AF33">
        <v>0</v>
      </c>
      <c r="AG33">
        <v>6</v>
      </c>
      <c r="AH33">
        <v>0</v>
      </c>
      <c r="AI33">
        <v>25</v>
      </c>
      <c r="AJ33">
        <v>0</v>
      </c>
      <c r="AK33" s="125" t="s">
        <v>73</v>
      </c>
      <c r="AL33" s="125" t="s">
        <v>73</v>
      </c>
      <c r="AM33" s="126" t="s">
        <v>73</v>
      </c>
      <c r="AN33" s="125" t="s">
        <v>271</v>
      </c>
      <c r="AO33" s="56">
        <v>46005.920173611114</v>
      </c>
      <c r="AP33" s="56">
        <v>46005.878506944442</v>
      </c>
      <c r="AQ33" s="125" t="s">
        <v>73</v>
      </c>
      <c r="AR33" s="125" t="s">
        <v>73</v>
      </c>
      <c r="AS33" s="125" t="s">
        <v>73</v>
      </c>
      <c r="AT33" s="125" t="s">
        <v>73</v>
      </c>
      <c r="AU33" s="125" t="s">
        <v>73</v>
      </c>
      <c r="AV33" s="125" t="s">
        <v>73</v>
      </c>
      <c r="AW33">
        <v>0</v>
      </c>
      <c r="AX33" s="125" t="s">
        <v>73</v>
      </c>
      <c r="AY33" s="125" t="s">
        <v>158</v>
      </c>
      <c r="AZ33" s="125" t="s">
        <v>158</v>
      </c>
      <c r="BA33" s="125" t="s">
        <v>158</v>
      </c>
      <c r="BB33"/>
      <c r="BC33"/>
    </row>
    <row r="34" spans="1:55" ht="16" x14ac:dyDescent="0.2">
      <c r="A34" s="125" t="s">
        <v>153</v>
      </c>
      <c r="B34" s="125" t="s">
        <v>224</v>
      </c>
      <c r="C34" s="125" t="s">
        <v>225</v>
      </c>
      <c r="D34" s="125" t="s">
        <v>72</v>
      </c>
      <c r="E34" s="125" t="s">
        <v>72</v>
      </c>
      <c r="F34" s="125" t="s">
        <v>72</v>
      </c>
      <c r="G34" s="125" t="s">
        <v>73</v>
      </c>
      <c r="H34" s="125"/>
      <c r="I34">
        <v>14</v>
      </c>
      <c r="J34">
        <v>4</v>
      </c>
      <c r="L34">
        <v>2</v>
      </c>
      <c r="N34">
        <v>4</v>
      </c>
      <c r="O34">
        <v>3</v>
      </c>
      <c r="Q34">
        <v>6</v>
      </c>
      <c r="R34">
        <v>3</v>
      </c>
      <c r="S34">
        <v>3</v>
      </c>
      <c r="T34">
        <v>0</v>
      </c>
      <c r="U34" s="125" t="s">
        <v>73</v>
      </c>
      <c r="V34">
        <v>0</v>
      </c>
      <c r="W34">
        <v>0</v>
      </c>
      <c r="X34">
        <v>4</v>
      </c>
      <c r="Y34">
        <v>1</v>
      </c>
      <c r="Z34">
        <v>3</v>
      </c>
      <c r="AA34">
        <v>0</v>
      </c>
      <c r="AB34">
        <v>0</v>
      </c>
      <c r="AC34" s="125" t="s">
        <v>73</v>
      </c>
      <c r="AD34">
        <v>4</v>
      </c>
      <c r="AE34">
        <v>4</v>
      </c>
      <c r="AF34">
        <v>0</v>
      </c>
      <c r="AG34">
        <v>0</v>
      </c>
      <c r="AH34">
        <v>1</v>
      </c>
      <c r="AI34">
        <v>66</v>
      </c>
      <c r="AJ34">
        <v>8</v>
      </c>
      <c r="AK34" s="125" t="s">
        <v>72</v>
      </c>
      <c r="AL34" s="125" t="s">
        <v>73</v>
      </c>
      <c r="AM34" s="126" t="s">
        <v>73</v>
      </c>
      <c r="AN34" s="125" t="s">
        <v>237</v>
      </c>
      <c r="AO34" s="56">
        <v>46003.786145833335</v>
      </c>
      <c r="AP34" s="56">
        <v>46003.744479166664</v>
      </c>
      <c r="AQ34" s="125" t="s">
        <v>73</v>
      </c>
      <c r="AR34" s="125" t="s">
        <v>73</v>
      </c>
      <c r="AS34" s="125" t="s">
        <v>73</v>
      </c>
      <c r="AT34" s="125" t="s">
        <v>73</v>
      </c>
      <c r="AU34" s="125" t="s">
        <v>73</v>
      </c>
      <c r="AV34" s="125" t="s">
        <v>73</v>
      </c>
      <c r="AW34">
        <v>0</v>
      </c>
      <c r="AX34" s="125" t="s">
        <v>73</v>
      </c>
      <c r="AY34" s="125" t="s">
        <v>158</v>
      </c>
      <c r="AZ34" s="125" t="s">
        <v>158</v>
      </c>
      <c r="BA34" s="125" t="s">
        <v>158</v>
      </c>
      <c r="BB34"/>
      <c r="BC34"/>
    </row>
    <row r="35" spans="1:55" ht="16" x14ac:dyDescent="0.2">
      <c r="A35" s="125" t="s">
        <v>153</v>
      </c>
      <c r="B35" s="125" t="s">
        <v>216</v>
      </c>
      <c r="C35" s="125" t="s">
        <v>217</v>
      </c>
      <c r="D35" s="125" t="s">
        <v>72</v>
      </c>
      <c r="E35" s="125" t="s">
        <v>72</v>
      </c>
      <c r="F35" s="125" t="s">
        <v>73</v>
      </c>
      <c r="G35" s="125" t="s">
        <v>73</v>
      </c>
      <c r="H35" s="125"/>
      <c r="I35">
        <v>9</v>
      </c>
      <c r="J35">
        <v>3</v>
      </c>
      <c r="L35">
        <v>3</v>
      </c>
      <c r="Q35">
        <v>0</v>
      </c>
      <c r="R35">
        <v>0</v>
      </c>
      <c r="S35">
        <v>0</v>
      </c>
      <c r="T35">
        <v>0</v>
      </c>
      <c r="U35" s="125" t="s">
        <v>72</v>
      </c>
      <c r="V35">
        <v>0</v>
      </c>
      <c r="W35">
        <v>0</v>
      </c>
      <c r="X35">
        <v>4</v>
      </c>
      <c r="Y35">
        <v>2</v>
      </c>
      <c r="Z35">
        <v>1</v>
      </c>
      <c r="AA35">
        <v>0</v>
      </c>
      <c r="AB35">
        <v>1</v>
      </c>
      <c r="AC35" s="125" t="s">
        <v>72</v>
      </c>
      <c r="AD35">
        <v>3</v>
      </c>
      <c r="AE35">
        <v>3</v>
      </c>
      <c r="AF35">
        <v>0</v>
      </c>
      <c r="AG35">
        <v>3</v>
      </c>
      <c r="AH35">
        <v>0</v>
      </c>
      <c r="AI35">
        <v>77</v>
      </c>
      <c r="AJ35">
        <v>12</v>
      </c>
      <c r="AK35" s="125" t="s">
        <v>73</v>
      </c>
      <c r="AL35" s="125" t="s">
        <v>73</v>
      </c>
      <c r="AM35" s="126" t="s">
        <v>73</v>
      </c>
      <c r="AN35" s="125" t="s">
        <v>218</v>
      </c>
      <c r="AO35" s="56">
        <v>46003.541863425926</v>
      </c>
      <c r="AP35" s="56">
        <v>46003.500196759262</v>
      </c>
      <c r="AQ35" s="125" t="s">
        <v>217</v>
      </c>
      <c r="AR35" s="125" t="s">
        <v>78</v>
      </c>
      <c r="AS35" s="125" t="s">
        <v>76</v>
      </c>
      <c r="AT35" s="125" t="s">
        <v>219</v>
      </c>
      <c r="AU35" s="125" t="s">
        <v>220</v>
      </c>
      <c r="AV35" s="125" t="s">
        <v>221</v>
      </c>
      <c r="AW35">
        <v>20</v>
      </c>
      <c r="AX35" s="125" t="s">
        <v>73</v>
      </c>
      <c r="AY35" s="125" t="s">
        <v>158</v>
      </c>
      <c r="AZ35" s="125" t="s">
        <v>158</v>
      </c>
      <c r="BA35" s="125" t="s">
        <v>158</v>
      </c>
      <c r="BB35"/>
      <c r="BC35"/>
    </row>
    <row r="36" spans="1:55" ht="16" x14ac:dyDescent="0.2">
      <c r="A36" s="125" t="s">
        <v>153</v>
      </c>
      <c r="B36" s="125" t="s">
        <v>188</v>
      </c>
      <c r="C36" s="125" t="s">
        <v>189</v>
      </c>
      <c r="D36" s="125" t="s">
        <v>73</v>
      </c>
      <c r="E36" s="125" t="s">
        <v>72</v>
      </c>
      <c r="F36" s="125" t="s">
        <v>73</v>
      </c>
      <c r="G36" s="125" t="s">
        <v>73</v>
      </c>
      <c r="H36" s="125"/>
      <c r="I36">
        <v>8</v>
      </c>
      <c r="Q36">
        <v>0</v>
      </c>
      <c r="R36">
        <v>0</v>
      </c>
      <c r="S36">
        <v>0</v>
      </c>
      <c r="T36">
        <v>0</v>
      </c>
      <c r="U36" s="125" t="s">
        <v>73</v>
      </c>
      <c r="V36">
        <v>0</v>
      </c>
      <c r="W36">
        <v>0</v>
      </c>
      <c r="X36">
        <v>0</v>
      </c>
      <c r="Y36">
        <v>0</v>
      </c>
      <c r="Z36">
        <v>0</v>
      </c>
      <c r="AA36">
        <v>0</v>
      </c>
      <c r="AB36">
        <v>0</v>
      </c>
      <c r="AC36" s="125" t="s">
        <v>73</v>
      </c>
      <c r="AD36">
        <v>0</v>
      </c>
      <c r="AE36">
        <v>0</v>
      </c>
      <c r="AF36">
        <v>0</v>
      </c>
      <c r="AG36">
        <v>0</v>
      </c>
      <c r="AH36">
        <v>0</v>
      </c>
      <c r="AI36">
        <v>11</v>
      </c>
      <c r="AJ36">
        <v>0</v>
      </c>
      <c r="AK36" s="125" t="s">
        <v>73</v>
      </c>
      <c r="AL36" s="125" t="s">
        <v>73</v>
      </c>
      <c r="AM36" s="126" t="s">
        <v>73</v>
      </c>
      <c r="AN36" s="125" t="s">
        <v>190</v>
      </c>
      <c r="AO36" s="56">
        <v>46000.696250000001</v>
      </c>
      <c r="AP36" s="56">
        <v>46000.654583333337</v>
      </c>
      <c r="AQ36" s="125" t="s">
        <v>73</v>
      </c>
      <c r="AR36" s="125" t="s">
        <v>73</v>
      </c>
      <c r="AS36" s="125" t="s">
        <v>73</v>
      </c>
      <c r="AT36" s="125" t="s">
        <v>73</v>
      </c>
      <c r="AU36" s="125" t="s">
        <v>73</v>
      </c>
      <c r="AV36" s="125" t="s">
        <v>73</v>
      </c>
      <c r="AW36">
        <v>0</v>
      </c>
      <c r="AX36" s="125" t="s">
        <v>73</v>
      </c>
      <c r="AY36" s="125" t="s">
        <v>158</v>
      </c>
      <c r="AZ36" s="125" t="s">
        <v>158</v>
      </c>
      <c r="BA36" s="125" t="s">
        <v>158</v>
      </c>
      <c r="BB36"/>
      <c r="BC36"/>
    </row>
    <row r="37" spans="1:55" ht="160" x14ac:dyDescent="0.2">
      <c r="A37" s="125" t="s">
        <v>153</v>
      </c>
      <c r="B37" s="125" t="s">
        <v>165</v>
      </c>
      <c r="C37" s="125" t="s">
        <v>166</v>
      </c>
      <c r="D37" s="125" t="s">
        <v>72</v>
      </c>
      <c r="E37" s="125" t="s">
        <v>73</v>
      </c>
      <c r="F37" s="125" t="s">
        <v>72</v>
      </c>
      <c r="G37" s="125" t="s">
        <v>73</v>
      </c>
      <c r="H37" s="125"/>
      <c r="I37">
        <v>4</v>
      </c>
      <c r="Q37">
        <v>0</v>
      </c>
      <c r="R37">
        <v>0</v>
      </c>
      <c r="S37">
        <v>0</v>
      </c>
      <c r="T37">
        <v>0</v>
      </c>
      <c r="U37" s="125" t="s">
        <v>73</v>
      </c>
      <c r="V37">
        <v>0</v>
      </c>
      <c r="W37">
        <v>0</v>
      </c>
      <c r="X37">
        <v>0</v>
      </c>
      <c r="Y37">
        <v>0</v>
      </c>
      <c r="Z37">
        <v>0</v>
      </c>
      <c r="AA37">
        <v>0</v>
      </c>
      <c r="AB37">
        <v>0</v>
      </c>
      <c r="AC37" s="125" t="s">
        <v>73</v>
      </c>
      <c r="AD37">
        <v>6</v>
      </c>
      <c r="AE37">
        <v>6</v>
      </c>
      <c r="AF37">
        <v>0</v>
      </c>
      <c r="AG37">
        <v>0</v>
      </c>
      <c r="AH37">
        <v>0</v>
      </c>
      <c r="AI37">
        <v>10</v>
      </c>
      <c r="AJ37">
        <v>2</v>
      </c>
      <c r="AK37" s="125" t="s">
        <v>73</v>
      </c>
      <c r="AL37" s="125" t="s">
        <v>73</v>
      </c>
      <c r="AM37" s="126" t="s">
        <v>243</v>
      </c>
      <c r="AN37" s="125" t="s">
        <v>191</v>
      </c>
      <c r="AO37" s="56">
        <v>45999.829548611109</v>
      </c>
      <c r="AP37" s="56">
        <v>46004.501238425924</v>
      </c>
      <c r="AQ37" s="125" t="s">
        <v>73</v>
      </c>
      <c r="AR37" s="125" t="s">
        <v>73</v>
      </c>
      <c r="AS37" s="125" t="s">
        <v>73</v>
      </c>
      <c r="AT37" s="125" t="s">
        <v>73</v>
      </c>
      <c r="AU37" s="125" t="s">
        <v>73</v>
      </c>
      <c r="AV37" s="125" t="s">
        <v>73</v>
      </c>
      <c r="AW37">
        <v>0</v>
      </c>
      <c r="AX37" s="125" t="s">
        <v>73</v>
      </c>
      <c r="AY37" s="125" t="s">
        <v>158</v>
      </c>
      <c r="AZ37" s="125" t="s">
        <v>158</v>
      </c>
      <c r="BA37" s="125" t="s">
        <v>158</v>
      </c>
      <c r="BB37"/>
      <c r="BC37"/>
    </row>
    <row r="38" spans="1:55" ht="16" x14ac:dyDescent="0.2">
      <c r="A38" s="125" t="s">
        <v>153</v>
      </c>
      <c r="B38" s="125" t="s">
        <v>176</v>
      </c>
      <c r="C38" s="125" t="s">
        <v>177</v>
      </c>
      <c r="D38" s="125" t="s">
        <v>73</v>
      </c>
      <c r="E38" s="125" t="s">
        <v>72</v>
      </c>
      <c r="F38" s="125" t="s">
        <v>72</v>
      </c>
      <c r="G38" s="125" t="s">
        <v>73</v>
      </c>
      <c r="H38" s="125"/>
      <c r="I38">
        <v>4</v>
      </c>
      <c r="Q38">
        <v>0</v>
      </c>
      <c r="R38">
        <v>0</v>
      </c>
      <c r="S38">
        <v>0</v>
      </c>
      <c r="T38">
        <v>0</v>
      </c>
      <c r="U38" s="125" t="s">
        <v>72</v>
      </c>
      <c r="V38">
        <v>0</v>
      </c>
      <c r="W38">
        <v>0</v>
      </c>
      <c r="X38">
        <v>0</v>
      </c>
      <c r="Y38">
        <v>0</v>
      </c>
      <c r="Z38">
        <v>0</v>
      </c>
      <c r="AA38">
        <v>0</v>
      </c>
      <c r="AB38">
        <v>0</v>
      </c>
      <c r="AC38" s="125" t="s">
        <v>73</v>
      </c>
      <c r="AD38">
        <v>6</v>
      </c>
      <c r="AE38">
        <v>6</v>
      </c>
      <c r="AF38">
        <v>0</v>
      </c>
      <c r="AG38">
        <v>6</v>
      </c>
      <c r="AH38">
        <v>0</v>
      </c>
      <c r="AI38">
        <v>40</v>
      </c>
      <c r="AJ38">
        <v>12</v>
      </c>
      <c r="AK38" s="125" t="s">
        <v>72</v>
      </c>
      <c r="AL38" s="125" t="s">
        <v>73</v>
      </c>
      <c r="AM38" s="126" t="s">
        <v>73</v>
      </c>
      <c r="AN38" s="125" t="s">
        <v>178</v>
      </c>
      <c r="AO38" s="56">
        <v>45998.928877314815</v>
      </c>
      <c r="AP38" s="56">
        <v>46006.883460648147</v>
      </c>
      <c r="AQ38" s="125" t="s">
        <v>177</v>
      </c>
      <c r="AR38" s="125" t="s">
        <v>78</v>
      </c>
      <c r="AS38" s="125" t="s">
        <v>179</v>
      </c>
      <c r="AT38" s="125" t="s">
        <v>289</v>
      </c>
      <c r="AU38" s="125" t="s">
        <v>180</v>
      </c>
      <c r="AV38" s="125" t="s">
        <v>181</v>
      </c>
      <c r="AW38">
        <v>12</v>
      </c>
      <c r="AX38" s="125" t="s">
        <v>73</v>
      </c>
      <c r="AY38" s="125" t="s">
        <v>158</v>
      </c>
      <c r="AZ38" s="125" t="s">
        <v>158</v>
      </c>
      <c r="BA38" s="125" t="s">
        <v>158</v>
      </c>
      <c r="BB38"/>
      <c r="BC38"/>
    </row>
    <row r="39" spans="1:55" ht="16" x14ac:dyDescent="0.2">
      <c r="A39" s="125" t="s">
        <v>153</v>
      </c>
      <c r="B39" s="125" t="s">
        <v>182</v>
      </c>
      <c r="C39" s="125" t="s">
        <v>183</v>
      </c>
      <c r="D39" s="125" t="s">
        <v>73</v>
      </c>
      <c r="E39" s="125" t="s">
        <v>72</v>
      </c>
      <c r="F39" s="125" t="s">
        <v>72</v>
      </c>
      <c r="G39" s="125" t="s">
        <v>73</v>
      </c>
      <c r="H39" s="125"/>
      <c r="I39">
        <v>8</v>
      </c>
      <c r="J39">
        <v>3</v>
      </c>
      <c r="Q39">
        <v>0</v>
      </c>
      <c r="R39">
        <v>0</v>
      </c>
      <c r="S39">
        <v>0</v>
      </c>
      <c r="T39">
        <v>0</v>
      </c>
      <c r="U39" s="125" t="s">
        <v>73</v>
      </c>
      <c r="V39">
        <v>0</v>
      </c>
      <c r="W39">
        <v>0</v>
      </c>
      <c r="X39">
        <v>0</v>
      </c>
      <c r="Y39">
        <v>0</v>
      </c>
      <c r="Z39">
        <v>0</v>
      </c>
      <c r="AA39">
        <v>0</v>
      </c>
      <c r="AB39">
        <v>0</v>
      </c>
      <c r="AC39" s="125" t="s">
        <v>72</v>
      </c>
      <c r="AD39">
        <v>0</v>
      </c>
      <c r="AE39">
        <v>0</v>
      </c>
      <c r="AF39">
        <v>0</v>
      </c>
      <c r="AG39">
        <v>0</v>
      </c>
      <c r="AH39">
        <v>2</v>
      </c>
      <c r="AI39">
        <v>35</v>
      </c>
      <c r="AJ39">
        <v>4</v>
      </c>
      <c r="AK39" s="125" t="s">
        <v>73</v>
      </c>
      <c r="AL39" s="125" t="s">
        <v>73</v>
      </c>
      <c r="AM39" s="126" t="s">
        <v>73</v>
      </c>
      <c r="AN39" s="125" t="s">
        <v>184</v>
      </c>
      <c r="AO39" s="56">
        <v>45998.522962962961</v>
      </c>
      <c r="AP39" s="56">
        <v>45998.481296296297</v>
      </c>
      <c r="AQ39" s="125" t="s">
        <v>73</v>
      </c>
      <c r="AR39" s="125" t="s">
        <v>73</v>
      </c>
      <c r="AS39" s="125" t="s">
        <v>73</v>
      </c>
      <c r="AT39" s="125" t="s">
        <v>73</v>
      </c>
      <c r="AU39" s="125" t="s">
        <v>73</v>
      </c>
      <c r="AV39" s="125" t="s">
        <v>73</v>
      </c>
      <c r="AW39">
        <v>0</v>
      </c>
      <c r="AX39" s="125" t="s">
        <v>73</v>
      </c>
      <c r="AY39" s="125" t="s">
        <v>158</v>
      </c>
      <c r="AZ39" s="125" t="s">
        <v>158</v>
      </c>
      <c r="BA39" s="125" t="s">
        <v>158</v>
      </c>
      <c r="BB39"/>
      <c r="BC39"/>
    </row>
    <row r="40" spans="1:55" ht="16" x14ac:dyDescent="0.2">
      <c r="A40" s="125" t="s">
        <v>153</v>
      </c>
      <c r="B40" s="125" t="s">
        <v>155</v>
      </c>
      <c r="C40" s="125" t="s">
        <v>156</v>
      </c>
      <c r="D40" s="125" t="s">
        <v>73</v>
      </c>
      <c r="E40" s="125" t="s">
        <v>72</v>
      </c>
      <c r="F40" s="125" t="s">
        <v>73</v>
      </c>
      <c r="G40" s="125" t="s">
        <v>73</v>
      </c>
      <c r="H40" s="125"/>
      <c r="I40">
        <v>4</v>
      </c>
      <c r="Q40">
        <v>0</v>
      </c>
      <c r="R40">
        <v>0</v>
      </c>
      <c r="S40">
        <v>0</v>
      </c>
      <c r="T40">
        <v>0</v>
      </c>
      <c r="U40" s="125" t="s">
        <v>73</v>
      </c>
      <c r="V40">
        <v>0</v>
      </c>
      <c r="W40">
        <v>0</v>
      </c>
      <c r="X40">
        <v>0</v>
      </c>
      <c r="Y40">
        <v>0</v>
      </c>
      <c r="Z40">
        <v>0</v>
      </c>
      <c r="AA40">
        <v>0</v>
      </c>
      <c r="AB40">
        <v>0</v>
      </c>
      <c r="AC40" s="125" t="s">
        <v>73</v>
      </c>
      <c r="AD40">
        <v>4</v>
      </c>
      <c r="AE40">
        <v>4</v>
      </c>
      <c r="AF40">
        <v>0</v>
      </c>
      <c r="AG40">
        <v>4</v>
      </c>
      <c r="AH40">
        <v>0</v>
      </c>
      <c r="AI40">
        <v>50</v>
      </c>
      <c r="AJ40">
        <v>2</v>
      </c>
      <c r="AK40" s="125" t="s">
        <v>73</v>
      </c>
      <c r="AL40" s="125" t="s">
        <v>73</v>
      </c>
      <c r="AM40" s="126" t="s">
        <v>73</v>
      </c>
      <c r="AN40" s="125" t="s">
        <v>157</v>
      </c>
      <c r="AO40" s="56">
        <v>45995.857175925928</v>
      </c>
      <c r="AP40" s="56">
        <v>45995.815509259257</v>
      </c>
      <c r="AQ40" s="125" t="s">
        <v>73</v>
      </c>
      <c r="AR40" s="125" t="s">
        <v>73</v>
      </c>
      <c r="AS40" s="125" t="s">
        <v>73</v>
      </c>
      <c r="AT40" s="125" t="s">
        <v>73</v>
      </c>
      <c r="AU40" s="125" t="s">
        <v>73</v>
      </c>
      <c r="AV40" s="125" t="s">
        <v>73</v>
      </c>
      <c r="AW40">
        <v>0</v>
      </c>
      <c r="AX40" s="125" t="s">
        <v>73</v>
      </c>
      <c r="AY40" s="125" t="s">
        <v>158</v>
      </c>
      <c r="AZ40" s="125" t="s">
        <v>158</v>
      </c>
      <c r="BA40" s="125" t="s">
        <v>158</v>
      </c>
      <c r="BB40"/>
      <c r="BC40"/>
    </row>
    <row r="41" spans="1:55" ht="16" x14ac:dyDescent="0.2">
      <c r="A41" s="125" t="s">
        <v>153</v>
      </c>
      <c r="B41" s="125" t="s">
        <v>159</v>
      </c>
      <c r="C41" s="125" t="s">
        <v>160</v>
      </c>
      <c r="D41" s="125" t="s">
        <v>73</v>
      </c>
      <c r="E41" s="125" t="s">
        <v>72</v>
      </c>
      <c r="F41" s="125" t="s">
        <v>72</v>
      </c>
      <c r="G41" s="125" t="s">
        <v>73</v>
      </c>
      <c r="H41" s="125"/>
      <c r="J41">
        <v>3</v>
      </c>
      <c r="L41">
        <v>2</v>
      </c>
      <c r="Q41">
        <v>0</v>
      </c>
      <c r="R41">
        <v>0</v>
      </c>
      <c r="S41">
        <v>0</v>
      </c>
      <c r="T41">
        <v>0</v>
      </c>
      <c r="U41" s="125" t="s">
        <v>73</v>
      </c>
      <c r="V41">
        <v>0</v>
      </c>
      <c r="W41">
        <v>0</v>
      </c>
      <c r="X41">
        <v>4</v>
      </c>
      <c r="Y41">
        <v>4</v>
      </c>
      <c r="Z41">
        <v>0</v>
      </c>
      <c r="AA41">
        <v>0</v>
      </c>
      <c r="AB41">
        <v>0</v>
      </c>
      <c r="AC41" s="125" t="s">
        <v>73</v>
      </c>
      <c r="AD41">
        <v>0</v>
      </c>
      <c r="AE41">
        <v>0</v>
      </c>
      <c r="AF41">
        <v>0</v>
      </c>
      <c r="AG41">
        <v>0</v>
      </c>
      <c r="AH41">
        <v>0</v>
      </c>
      <c r="AI41">
        <v>100</v>
      </c>
      <c r="AJ41">
        <v>20</v>
      </c>
      <c r="AK41" s="125" t="s">
        <v>73</v>
      </c>
      <c r="AL41" s="125" t="s">
        <v>73</v>
      </c>
      <c r="AM41" s="126" t="s">
        <v>73</v>
      </c>
      <c r="AN41" s="125" t="s">
        <v>161</v>
      </c>
      <c r="AO41" s="56">
        <v>45993.666203703702</v>
      </c>
      <c r="AP41" s="56">
        <v>45993.624537037038</v>
      </c>
      <c r="AQ41" s="125" t="s">
        <v>73</v>
      </c>
      <c r="AR41" s="125" t="s">
        <v>73</v>
      </c>
      <c r="AS41" s="125" t="s">
        <v>73</v>
      </c>
      <c r="AT41" s="125" t="s">
        <v>73</v>
      </c>
      <c r="AU41" s="125" t="s">
        <v>73</v>
      </c>
      <c r="AV41" s="125" t="s">
        <v>73</v>
      </c>
      <c r="AW41">
        <v>0</v>
      </c>
      <c r="AX41" s="125" t="s">
        <v>73</v>
      </c>
      <c r="AY41" s="125" t="s">
        <v>158</v>
      </c>
      <c r="AZ41" s="125" t="s">
        <v>158</v>
      </c>
      <c r="BA41" s="125" t="s">
        <v>158</v>
      </c>
      <c r="BB41"/>
      <c r="BC41"/>
    </row>
    <row r="42" spans="1:55" ht="16" x14ac:dyDescent="0.2">
      <c r="A42" s="125" t="s">
        <v>154</v>
      </c>
      <c r="B42" s="125" t="s">
        <v>451</v>
      </c>
      <c r="C42" s="125" t="s">
        <v>452</v>
      </c>
      <c r="D42" s="125" t="s">
        <v>72</v>
      </c>
      <c r="E42" s="125" t="s">
        <v>72</v>
      </c>
      <c r="F42" s="125" t="s">
        <v>72</v>
      </c>
      <c r="G42" s="125" t="s">
        <v>73</v>
      </c>
      <c r="H42" s="125"/>
      <c r="I42">
        <v>8</v>
      </c>
      <c r="J42">
        <v>7</v>
      </c>
      <c r="Q42">
        <v>0</v>
      </c>
      <c r="R42">
        <v>0</v>
      </c>
      <c r="S42">
        <v>0</v>
      </c>
      <c r="T42">
        <v>0</v>
      </c>
      <c r="U42" s="125" t="s">
        <v>73</v>
      </c>
      <c r="V42">
        <v>0</v>
      </c>
      <c r="W42">
        <v>0</v>
      </c>
      <c r="X42">
        <v>0</v>
      </c>
      <c r="Y42">
        <v>0</v>
      </c>
      <c r="Z42">
        <v>0</v>
      </c>
      <c r="AA42">
        <v>0</v>
      </c>
      <c r="AB42">
        <v>0</v>
      </c>
      <c r="AC42" s="125" t="s">
        <v>73</v>
      </c>
      <c r="AD42">
        <v>6</v>
      </c>
      <c r="AE42">
        <v>0</v>
      </c>
      <c r="AF42">
        <v>0</v>
      </c>
      <c r="AG42">
        <v>0</v>
      </c>
      <c r="AH42">
        <v>0</v>
      </c>
      <c r="AI42">
        <v>27</v>
      </c>
      <c r="AJ42">
        <v>9</v>
      </c>
      <c r="AK42" s="125" t="s">
        <v>72</v>
      </c>
      <c r="AL42" s="125" t="s">
        <v>73</v>
      </c>
      <c r="AM42" s="126" t="s">
        <v>73</v>
      </c>
      <c r="AN42" s="125" t="s">
        <v>453</v>
      </c>
      <c r="AO42" s="56">
        <v>46021.9921412037</v>
      </c>
      <c r="AP42" s="56">
        <v>46021.950474537036</v>
      </c>
      <c r="AQ42" s="125" t="s">
        <v>73</v>
      </c>
      <c r="AR42" s="125" t="s">
        <v>73</v>
      </c>
      <c r="AS42" s="125" t="s">
        <v>73</v>
      </c>
      <c r="AT42" s="125" t="s">
        <v>73</v>
      </c>
      <c r="AU42" s="125" t="s">
        <v>73</v>
      </c>
      <c r="AV42" s="125" t="s">
        <v>73</v>
      </c>
      <c r="AW42">
        <v>0</v>
      </c>
      <c r="AX42" s="125" t="s">
        <v>73</v>
      </c>
      <c r="AY42" s="125" t="s">
        <v>158</v>
      </c>
      <c r="AZ42" s="125" t="s">
        <v>158</v>
      </c>
      <c r="BA42" s="125" t="s">
        <v>158</v>
      </c>
      <c r="BB42"/>
      <c r="BC42"/>
    </row>
    <row r="43" spans="1:55" ht="16" x14ac:dyDescent="0.2">
      <c r="A43" s="125" t="s">
        <v>154</v>
      </c>
      <c r="B43" s="125" t="s">
        <v>454</v>
      </c>
      <c r="C43" s="125" t="s">
        <v>455</v>
      </c>
      <c r="D43" s="125" t="s">
        <v>72</v>
      </c>
      <c r="E43" s="125" t="s">
        <v>72</v>
      </c>
      <c r="F43" s="125" t="s">
        <v>73</v>
      </c>
      <c r="G43" s="125" t="s">
        <v>73</v>
      </c>
      <c r="H43" s="125"/>
      <c r="Q43">
        <v>0</v>
      </c>
      <c r="R43">
        <v>0</v>
      </c>
      <c r="S43">
        <v>0</v>
      </c>
      <c r="T43">
        <v>0</v>
      </c>
      <c r="U43" s="125" t="s">
        <v>73</v>
      </c>
      <c r="V43">
        <v>0</v>
      </c>
      <c r="W43">
        <v>0</v>
      </c>
      <c r="X43">
        <v>0</v>
      </c>
      <c r="Y43">
        <v>0</v>
      </c>
      <c r="Z43">
        <v>0</v>
      </c>
      <c r="AA43">
        <v>0</v>
      </c>
      <c r="AB43">
        <v>0</v>
      </c>
      <c r="AC43" s="125" t="s">
        <v>73</v>
      </c>
      <c r="AD43">
        <v>0</v>
      </c>
      <c r="AE43">
        <v>0</v>
      </c>
      <c r="AF43">
        <v>0</v>
      </c>
      <c r="AG43">
        <v>0</v>
      </c>
      <c r="AH43">
        <v>0</v>
      </c>
      <c r="AI43">
        <v>25</v>
      </c>
      <c r="AJ43">
        <v>5</v>
      </c>
      <c r="AK43" s="125" t="s">
        <v>73</v>
      </c>
      <c r="AL43" s="125" t="s">
        <v>72</v>
      </c>
      <c r="AM43" s="126" t="s">
        <v>73</v>
      </c>
      <c r="AN43" s="125" t="s">
        <v>456</v>
      </c>
      <c r="AO43" s="56">
        <v>46021.975057870368</v>
      </c>
      <c r="AP43" s="56">
        <v>46021.933391203704</v>
      </c>
      <c r="AQ43" s="125" t="s">
        <v>73</v>
      </c>
      <c r="AR43" s="125" t="s">
        <v>73</v>
      </c>
      <c r="AS43" s="125" t="s">
        <v>73</v>
      </c>
      <c r="AT43" s="125" t="s">
        <v>73</v>
      </c>
      <c r="AU43" s="125" t="s">
        <v>73</v>
      </c>
      <c r="AV43" s="125" t="s">
        <v>73</v>
      </c>
      <c r="AW43">
        <v>0</v>
      </c>
      <c r="AX43" s="125" t="s">
        <v>73</v>
      </c>
      <c r="AY43" s="125" t="s">
        <v>158</v>
      </c>
      <c r="AZ43" s="125" t="s">
        <v>158</v>
      </c>
      <c r="BA43" s="125" t="s">
        <v>158</v>
      </c>
      <c r="BB43"/>
      <c r="BC43"/>
    </row>
    <row r="44" spans="1:55" ht="16" x14ac:dyDescent="0.2">
      <c r="A44" s="125" t="s">
        <v>154</v>
      </c>
      <c r="B44" s="125" t="s">
        <v>429</v>
      </c>
      <c r="C44" s="125" t="s">
        <v>430</v>
      </c>
      <c r="D44" s="125" t="s">
        <v>73</v>
      </c>
      <c r="E44" s="125" t="s">
        <v>72</v>
      </c>
      <c r="F44" s="125" t="s">
        <v>72</v>
      </c>
      <c r="G44" s="125" t="s">
        <v>73</v>
      </c>
      <c r="H44" s="125"/>
      <c r="I44">
        <v>12</v>
      </c>
      <c r="J44">
        <v>4</v>
      </c>
      <c r="Q44">
        <v>0</v>
      </c>
      <c r="R44">
        <v>0</v>
      </c>
      <c r="S44">
        <v>0</v>
      </c>
      <c r="T44">
        <v>0</v>
      </c>
      <c r="U44" s="125" t="s">
        <v>73</v>
      </c>
      <c r="V44">
        <v>0</v>
      </c>
      <c r="W44">
        <v>0</v>
      </c>
      <c r="X44">
        <v>0</v>
      </c>
      <c r="Y44">
        <v>0</v>
      </c>
      <c r="Z44">
        <v>0</v>
      </c>
      <c r="AA44">
        <v>0</v>
      </c>
      <c r="AB44">
        <v>0</v>
      </c>
      <c r="AC44" s="125" t="s">
        <v>73</v>
      </c>
      <c r="AD44">
        <v>0</v>
      </c>
      <c r="AE44">
        <v>0</v>
      </c>
      <c r="AF44">
        <v>0</v>
      </c>
      <c r="AG44">
        <v>0</v>
      </c>
      <c r="AH44">
        <v>2</v>
      </c>
      <c r="AI44">
        <v>65</v>
      </c>
      <c r="AJ44">
        <v>14</v>
      </c>
      <c r="AK44" s="125" t="s">
        <v>72</v>
      </c>
      <c r="AL44" s="125" t="s">
        <v>73</v>
      </c>
      <c r="AM44" s="126" t="s">
        <v>73</v>
      </c>
      <c r="AN44" s="125" t="s">
        <v>431</v>
      </c>
      <c r="AO44" s="56">
        <v>46019.964398148149</v>
      </c>
      <c r="AP44" s="56">
        <v>46019.922731481478</v>
      </c>
      <c r="AQ44" s="125" t="s">
        <v>73</v>
      </c>
      <c r="AR44" s="125" t="s">
        <v>73</v>
      </c>
      <c r="AS44" s="125" t="s">
        <v>73</v>
      </c>
      <c r="AT44" s="125" t="s">
        <v>73</v>
      </c>
      <c r="AU44" s="125" t="s">
        <v>73</v>
      </c>
      <c r="AV44" s="125" t="s">
        <v>73</v>
      </c>
      <c r="AW44">
        <v>0</v>
      </c>
      <c r="AX44" s="125" t="s">
        <v>73</v>
      </c>
      <c r="AY44" s="125" t="s">
        <v>158</v>
      </c>
      <c r="AZ44" s="125" t="s">
        <v>158</v>
      </c>
      <c r="BA44" s="125" t="s">
        <v>158</v>
      </c>
      <c r="BB44"/>
      <c r="BC44"/>
    </row>
    <row r="45" spans="1:55" ht="16" x14ac:dyDescent="0.2">
      <c r="A45" s="125" t="s">
        <v>154</v>
      </c>
      <c r="B45" s="125" t="s">
        <v>415</v>
      </c>
      <c r="C45" s="125" t="s">
        <v>416</v>
      </c>
      <c r="D45" s="125" t="s">
        <v>73</v>
      </c>
      <c r="E45" s="125" t="s">
        <v>72</v>
      </c>
      <c r="F45" s="125" t="s">
        <v>73</v>
      </c>
      <c r="G45" s="125" t="s">
        <v>73</v>
      </c>
      <c r="H45" s="125"/>
      <c r="I45">
        <v>4</v>
      </c>
      <c r="J45">
        <v>4</v>
      </c>
      <c r="L45">
        <v>3</v>
      </c>
      <c r="Q45">
        <v>0</v>
      </c>
      <c r="R45">
        <v>0</v>
      </c>
      <c r="S45">
        <v>0</v>
      </c>
      <c r="T45">
        <v>0</v>
      </c>
      <c r="U45" s="125" t="s">
        <v>73</v>
      </c>
      <c r="V45">
        <v>0</v>
      </c>
      <c r="W45">
        <v>0</v>
      </c>
      <c r="X45">
        <v>0</v>
      </c>
      <c r="Y45">
        <v>0</v>
      </c>
      <c r="Z45">
        <v>0</v>
      </c>
      <c r="AA45">
        <v>0</v>
      </c>
      <c r="AB45">
        <v>0</v>
      </c>
      <c r="AC45" s="125" t="s">
        <v>73</v>
      </c>
      <c r="AD45">
        <v>4</v>
      </c>
      <c r="AE45">
        <v>4</v>
      </c>
      <c r="AF45">
        <v>0</v>
      </c>
      <c r="AG45">
        <v>4</v>
      </c>
      <c r="AH45">
        <v>0</v>
      </c>
      <c r="AI45">
        <v>30</v>
      </c>
      <c r="AJ45">
        <v>6</v>
      </c>
      <c r="AK45" s="125" t="s">
        <v>73</v>
      </c>
      <c r="AL45" s="125" t="s">
        <v>73</v>
      </c>
      <c r="AM45" s="126" t="s">
        <v>73</v>
      </c>
      <c r="AN45" s="125" t="s">
        <v>417</v>
      </c>
      <c r="AO45" s="56">
        <v>46019.661631944444</v>
      </c>
      <c r="AP45" s="56">
        <v>46019.61996527778</v>
      </c>
      <c r="AQ45" s="125" t="s">
        <v>73</v>
      </c>
      <c r="AR45" s="125" t="s">
        <v>73</v>
      </c>
      <c r="AS45" s="125" t="s">
        <v>73</v>
      </c>
      <c r="AT45" s="125" t="s">
        <v>73</v>
      </c>
      <c r="AU45" s="125" t="s">
        <v>73</v>
      </c>
      <c r="AV45" s="125" t="s">
        <v>73</v>
      </c>
      <c r="AW45">
        <v>0</v>
      </c>
      <c r="AX45" s="125" t="s">
        <v>73</v>
      </c>
      <c r="AY45" s="125" t="s">
        <v>158</v>
      </c>
      <c r="AZ45" s="125" t="s">
        <v>158</v>
      </c>
      <c r="BA45" s="125" t="s">
        <v>158</v>
      </c>
      <c r="BB45"/>
      <c r="BC45"/>
    </row>
    <row r="46" spans="1:55" ht="32" x14ac:dyDescent="0.2">
      <c r="A46" s="125" t="s">
        <v>154</v>
      </c>
      <c r="B46" s="125" t="s">
        <v>418</v>
      </c>
      <c r="C46" s="125" t="s">
        <v>419</v>
      </c>
      <c r="D46" s="125" t="s">
        <v>73</v>
      </c>
      <c r="E46" s="125" t="s">
        <v>72</v>
      </c>
      <c r="F46" s="125" t="s">
        <v>73</v>
      </c>
      <c r="G46" s="125" t="s">
        <v>73</v>
      </c>
      <c r="H46" s="125"/>
      <c r="I46">
        <v>8</v>
      </c>
      <c r="J46">
        <v>6</v>
      </c>
      <c r="L46">
        <v>8</v>
      </c>
      <c r="Q46">
        <v>0</v>
      </c>
      <c r="R46">
        <v>0</v>
      </c>
      <c r="S46">
        <v>0</v>
      </c>
      <c r="T46">
        <v>0</v>
      </c>
      <c r="U46" s="125" t="s">
        <v>73</v>
      </c>
      <c r="V46">
        <v>0</v>
      </c>
      <c r="W46">
        <v>0</v>
      </c>
      <c r="X46">
        <v>2</v>
      </c>
      <c r="Y46">
        <v>2</v>
      </c>
      <c r="Z46">
        <v>0</v>
      </c>
      <c r="AA46">
        <v>0</v>
      </c>
      <c r="AB46">
        <v>0</v>
      </c>
      <c r="AC46" s="125" t="s">
        <v>73</v>
      </c>
      <c r="AD46">
        <v>6</v>
      </c>
      <c r="AE46">
        <v>6</v>
      </c>
      <c r="AF46">
        <v>0</v>
      </c>
      <c r="AG46">
        <v>6</v>
      </c>
      <c r="AH46">
        <v>2</v>
      </c>
      <c r="AI46">
        <v>120</v>
      </c>
      <c r="AJ46">
        <v>14</v>
      </c>
      <c r="AK46" s="125" t="s">
        <v>72</v>
      </c>
      <c r="AL46" s="125" t="s">
        <v>72</v>
      </c>
      <c r="AM46" s="126" t="s">
        <v>420</v>
      </c>
      <c r="AN46" s="125" t="s">
        <v>421</v>
      </c>
      <c r="AO46" s="56">
        <v>46019.654583333337</v>
      </c>
      <c r="AP46" s="56">
        <v>46022.349317129629</v>
      </c>
      <c r="AQ46" s="125" t="s">
        <v>73</v>
      </c>
      <c r="AR46" s="125" t="s">
        <v>73</v>
      </c>
      <c r="AS46" s="125" t="s">
        <v>73</v>
      </c>
      <c r="AT46" s="125" t="s">
        <v>73</v>
      </c>
      <c r="AU46" s="125" t="s">
        <v>73</v>
      </c>
      <c r="AV46" s="125" t="s">
        <v>73</v>
      </c>
      <c r="AW46">
        <v>0</v>
      </c>
      <c r="AX46" s="125" t="s">
        <v>73</v>
      </c>
      <c r="AY46" s="125" t="s">
        <v>158</v>
      </c>
      <c r="AZ46" s="125" t="s">
        <v>158</v>
      </c>
      <c r="BA46" s="125" t="s">
        <v>158</v>
      </c>
      <c r="BB46"/>
      <c r="BC46"/>
    </row>
    <row r="47" spans="1:55" ht="16" x14ac:dyDescent="0.2">
      <c r="A47" s="125" t="s">
        <v>154</v>
      </c>
      <c r="B47" s="125" t="s">
        <v>398</v>
      </c>
      <c r="C47" s="125" t="s">
        <v>399</v>
      </c>
      <c r="D47" s="125" t="s">
        <v>73</v>
      </c>
      <c r="E47" s="125" t="s">
        <v>72</v>
      </c>
      <c r="F47" s="125" t="s">
        <v>73</v>
      </c>
      <c r="G47" s="125" t="s">
        <v>73</v>
      </c>
      <c r="H47" s="125"/>
      <c r="I47">
        <v>16</v>
      </c>
      <c r="Q47">
        <v>0</v>
      </c>
      <c r="R47">
        <v>0</v>
      </c>
      <c r="S47">
        <v>0</v>
      </c>
      <c r="T47">
        <v>0</v>
      </c>
      <c r="U47" s="125" t="s">
        <v>73</v>
      </c>
      <c r="V47">
        <v>0</v>
      </c>
      <c r="W47">
        <v>0</v>
      </c>
      <c r="X47">
        <v>3</v>
      </c>
      <c r="Y47">
        <v>2</v>
      </c>
      <c r="Z47">
        <v>1</v>
      </c>
      <c r="AA47">
        <v>0</v>
      </c>
      <c r="AB47">
        <v>0</v>
      </c>
      <c r="AC47" s="125" t="s">
        <v>73</v>
      </c>
      <c r="AD47">
        <v>4</v>
      </c>
      <c r="AE47">
        <v>4</v>
      </c>
      <c r="AF47">
        <v>0</v>
      </c>
      <c r="AG47">
        <v>5</v>
      </c>
      <c r="AH47">
        <v>0</v>
      </c>
      <c r="AI47">
        <v>110</v>
      </c>
      <c r="AJ47">
        <v>15</v>
      </c>
      <c r="AK47" s="125" t="s">
        <v>72</v>
      </c>
      <c r="AL47" s="125" t="s">
        <v>72</v>
      </c>
      <c r="AM47" s="126" t="s">
        <v>73</v>
      </c>
      <c r="AN47" s="125" t="s">
        <v>400</v>
      </c>
      <c r="AO47" s="56">
        <v>46017.53334490741</v>
      </c>
      <c r="AP47" s="56">
        <v>46017.491678240738</v>
      </c>
      <c r="AQ47" s="125" t="s">
        <v>73</v>
      </c>
      <c r="AR47" s="125" t="s">
        <v>73</v>
      </c>
      <c r="AS47" s="125" t="s">
        <v>73</v>
      </c>
      <c r="AT47" s="125" t="s">
        <v>73</v>
      </c>
      <c r="AU47" s="125" t="s">
        <v>73</v>
      </c>
      <c r="AV47" s="125" t="s">
        <v>73</v>
      </c>
      <c r="AW47">
        <v>0</v>
      </c>
      <c r="AX47" s="125" t="s">
        <v>73</v>
      </c>
      <c r="AY47" s="125" t="s">
        <v>158</v>
      </c>
      <c r="AZ47" s="125" t="s">
        <v>158</v>
      </c>
      <c r="BA47" s="125" t="s">
        <v>158</v>
      </c>
      <c r="BB47"/>
      <c r="BC47"/>
    </row>
    <row r="48" spans="1:55" ht="16" x14ac:dyDescent="0.2">
      <c r="A48" s="125" t="s">
        <v>154</v>
      </c>
      <c r="B48" s="125" t="s">
        <v>345</v>
      </c>
      <c r="C48" s="125" t="s">
        <v>346</v>
      </c>
      <c r="D48" s="125" t="s">
        <v>72</v>
      </c>
      <c r="E48" s="125" t="s">
        <v>72</v>
      </c>
      <c r="F48" s="125" t="s">
        <v>72</v>
      </c>
      <c r="G48" s="125" t="s">
        <v>73</v>
      </c>
      <c r="H48" s="125"/>
      <c r="I48">
        <v>12</v>
      </c>
      <c r="J48">
        <v>4</v>
      </c>
      <c r="L48">
        <v>9</v>
      </c>
      <c r="N48">
        <v>10</v>
      </c>
      <c r="O48">
        <v>4</v>
      </c>
      <c r="Q48">
        <v>1</v>
      </c>
      <c r="R48">
        <v>0</v>
      </c>
      <c r="S48">
        <v>0</v>
      </c>
      <c r="T48">
        <v>1</v>
      </c>
      <c r="U48" s="125" t="s">
        <v>73</v>
      </c>
      <c r="V48">
        <v>0</v>
      </c>
      <c r="W48">
        <v>0</v>
      </c>
      <c r="X48">
        <v>3</v>
      </c>
      <c r="Y48">
        <v>3</v>
      </c>
      <c r="Z48">
        <v>0</v>
      </c>
      <c r="AA48">
        <v>0</v>
      </c>
      <c r="AB48">
        <v>0</v>
      </c>
      <c r="AC48" s="125" t="s">
        <v>72</v>
      </c>
      <c r="AD48">
        <v>6</v>
      </c>
      <c r="AE48">
        <v>6</v>
      </c>
      <c r="AF48">
        <v>0</v>
      </c>
      <c r="AG48">
        <v>0</v>
      </c>
      <c r="AH48">
        <v>2</v>
      </c>
      <c r="AI48">
        <v>125</v>
      </c>
      <c r="AJ48">
        <v>20</v>
      </c>
      <c r="AK48" s="125" t="s">
        <v>72</v>
      </c>
      <c r="AL48" s="125" t="s">
        <v>72</v>
      </c>
      <c r="AM48" s="126" t="s">
        <v>73</v>
      </c>
      <c r="AN48" s="125" t="s">
        <v>347</v>
      </c>
      <c r="AO48" s="56">
        <v>46013.470543981479</v>
      </c>
      <c r="AP48" s="56">
        <v>46013.428877314815</v>
      </c>
      <c r="AQ48" s="125" t="s">
        <v>73</v>
      </c>
      <c r="AR48" s="125" t="s">
        <v>73</v>
      </c>
      <c r="AS48" s="125" t="s">
        <v>73</v>
      </c>
      <c r="AT48" s="125" t="s">
        <v>73</v>
      </c>
      <c r="AU48" s="125" t="s">
        <v>73</v>
      </c>
      <c r="AV48" s="125" t="s">
        <v>73</v>
      </c>
      <c r="AW48">
        <v>0</v>
      </c>
      <c r="AX48" s="125" t="s">
        <v>73</v>
      </c>
      <c r="AY48" s="125" t="s">
        <v>158</v>
      </c>
      <c r="AZ48" s="125" t="s">
        <v>158</v>
      </c>
      <c r="BA48" s="125" t="s">
        <v>158</v>
      </c>
      <c r="BB48"/>
      <c r="BC48"/>
    </row>
    <row r="49" spans="1:55" ht="16" x14ac:dyDescent="0.2">
      <c r="A49" s="125" t="s">
        <v>154</v>
      </c>
      <c r="B49" s="125" t="s">
        <v>324</v>
      </c>
      <c r="C49" s="125" t="s">
        <v>325</v>
      </c>
      <c r="D49" s="125" t="s">
        <v>73</v>
      </c>
      <c r="E49" s="125" t="s">
        <v>72</v>
      </c>
      <c r="F49" s="125" t="s">
        <v>72</v>
      </c>
      <c r="G49" s="125" t="s">
        <v>73</v>
      </c>
      <c r="H49" s="125"/>
      <c r="I49">
        <v>6</v>
      </c>
      <c r="Q49">
        <v>3</v>
      </c>
      <c r="R49">
        <v>2</v>
      </c>
      <c r="S49">
        <v>1</v>
      </c>
      <c r="T49">
        <v>0</v>
      </c>
      <c r="U49" s="125" t="s">
        <v>73</v>
      </c>
      <c r="V49">
        <v>0</v>
      </c>
      <c r="W49">
        <v>0</v>
      </c>
      <c r="X49">
        <v>0</v>
      </c>
      <c r="Y49">
        <v>0</v>
      </c>
      <c r="Z49">
        <v>0</v>
      </c>
      <c r="AA49">
        <v>0</v>
      </c>
      <c r="AB49">
        <v>0</v>
      </c>
      <c r="AC49" s="125" t="s">
        <v>72</v>
      </c>
      <c r="AD49">
        <v>6</v>
      </c>
      <c r="AE49">
        <v>6</v>
      </c>
      <c r="AF49">
        <v>0</v>
      </c>
      <c r="AG49">
        <v>6</v>
      </c>
      <c r="AH49">
        <v>0</v>
      </c>
      <c r="AI49">
        <v>55</v>
      </c>
      <c r="AJ49">
        <v>1</v>
      </c>
      <c r="AK49" s="125" t="s">
        <v>73</v>
      </c>
      <c r="AL49" s="125" t="s">
        <v>73</v>
      </c>
      <c r="AM49" s="126" t="s">
        <v>73</v>
      </c>
      <c r="AN49" s="125" t="s">
        <v>330</v>
      </c>
      <c r="AO49" s="56">
        <v>46011.7966087963</v>
      </c>
      <c r="AP49" s="56">
        <v>46011.754942129628</v>
      </c>
      <c r="AQ49" s="125" t="s">
        <v>73</v>
      </c>
      <c r="AR49" s="125" t="s">
        <v>73</v>
      </c>
      <c r="AS49" s="125" t="s">
        <v>73</v>
      </c>
      <c r="AT49" s="125" t="s">
        <v>73</v>
      </c>
      <c r="AU49" s="125" t="s">
        <v>73</v>
      </c>
      <c r="AV49" s="125" t="s">
        <v>73</v>
      </c>
      <c r="AW49">
        <v>0</v>
      </c>
      <c r="AX49" s="125" t="s">
        <v>73</v>
      </c>
      <c r="AY49" s="125" t="s">
        <v>158</v>
      </c>
      <c r="AZ49" s="125" t="s">
        <v>158</v>
      </c>
      <c r="BA49" s="125" t="s">
        <v>158</v>
      </c>
      <c r="BB49"/>
      <c r="BC49"/>
    </row>
    <row r="50" spans="1:55" ht="16" x14ac:dyDescent="0.2">
      <c r="A50" s="125" t="s">
        <v>154</v>
      </c>
      <c r="B50" s="125" t="s">
        <v>318</v>
      </c>
      <c r="C50" s="125" t="s">
        <v>319</v>
      </c>
      <c r="D50" s="125" t="s">
        <v>73</v>
      </c>
      <c r="E50" s="125" t="s">
        <v>72</v>
      </c>
      <c r="F50" s="125" t="s">
        <v>73</v>
      </c>
      <c r="G50" s="125" t="s">
        <v>73</v>
      </c>
      <c r="H50" s="125"/>
      <c r="I50">
        <v>9</v>
      </c>
      <c r="J50">
        <v>9</v>
      </c>
      <c r="L50">
        <v>5</v>
      </c>
      <c r="Q50">
        <v>0</v>
      </c>
      <c r="R50">
        <v>0</v>
      </c>
      <c r="S50">
        <v>0</v>
      </c>
      <c r="T50">
        <v>0</v>
      </c>
      <c r="U50" s="125" t="s">
        <v>73</v>
      </c>
      <c r="V50">
        <v>0</v>
      </c>
      <c r="W50">
        <v>0</v>
      </c>
      <c r="X50">
        <v>0</v>
      </c>
      <c r="Y50">
        <v>0</v>
      </c>
      <c r="Z50">
        <v>0</v>
      </c>
      <c r="AA50">
        <v>0</v>
      </c>
      <c r="AB50">
        <v>0</v>
      </c>
      <c r="AC50" s="125" t="s">
        <v>73</v>
      </c>
      <c r="AD50">
        <v>6</v>
      </c>
      <c r="AE50">
        <v>6</v>
      </c>
      <c r="AF50">
        <v>0</v>
      </c>
      <c r="AG50">
        <v>6</v>
      </c>
      <c r="AH50">
        <v>2</v>
      </c>
      <c r="AI50">
        <v>75</v>
      </c>
      <c r="AJ50">
        <v>20</v>
      </c>
      <c r="AK50" s="125" t="s">
        <v>73</v>
      </c>
      <c r="AL50" s="125" t="s">
        <v>72</v>
      </c>
      <c r="AM50" s="126" t="s">
        <v>73</v>
      </c>
      <c r="AN50" s="125" t="s">
        <v>320</v>
      </c>
      <c r="AO50" s="56">
        <v>46011.580370370371</v>
      </c>
      <c r="AP50" s="56">
        <v>46011.538703703707</v>
      </c>
      <c r="AQ50" s="125" t="s">
        <v>73</v>
      </c>
      <c r="AR50" s="125" t="s">
        <v>73</v>
      </c>
      <c r="AS50" s="125" t="s">
        <v>73</v>
      </c>
      <c r="AT50" s="125" t="s">
        <v>73</v>
      </c>
      <c r="AU50" s="125" t="s">
        <v>73</v>
      </c>
      <c r="AV50" s="125" t="s">
        <v>73</v>
      </c>
      <c r="AW50">
        <v>0</v>
      </c>
      <c r="AX50" s="125" t="s">
        <v>73</v>
      </c>
      <c r="AY50" s="125" t="s">
        <v>158</v>
      </c>
      <c r="AZ50" s="125" t="s">
        <v>158</v>
      </c>
      <c r="BA50" s="125" t="s">
        <v>158</v>
      </c>
      <c r="BB50"/>
      <c r="BC50"/>
    </row>
    <row r="51" spans="1:55" ht="16" x14ac:dyDescent="0.2">
      <c r="A51" s="125" t="s">
        <v>154</v>
      </c>
      <c r="B51" s="125" t="s">
        <v>272</v>
      </c>
      <c r="C51" s="125" t="s">
        <v>273</v>
      </c>
      <c r="D51" s="125" t="s">
        <v>73</v>
      </c>
      <c r="E51" s="125" t="s">
        <v>72</v>
      </c>
      <c r="F51" s="125" t="s">
        <v>73</v>
      </c>
      <c r="G51" s="125" t="s">
        <v>73</v>
      </c>
      <c r="H51" s="125"/>
      <c r="I51">
        <v>5</v>
      </c>
      <c r="J51">
        <v>5</v>
      </c>
      <c r="Q51">
        <v>0</v>
      </c>
      <c r="R51">
        <v>0</v>
      </c>
      <c r="S51">
        <v>0</v>
      </c>
      <c r="T51">
        <v>0</v>
      </c>
      <c r="U51" s="125" t="s">
        <v>73</v>
      </c>
      <c r="V51">
        <v>0</v>
      </c>
      <c r="W51">
        <v>0</v>
      </c>
      <c r="X51">
        <v>7</v>
      </c>
      <c r="Y51">
        <v>5</v>
      </c>
      <c r="Z51">
        <v>1</v>
      </c>
      <c r="AA51">
        <v>1</v>
      </c>
      <c r="AB51">
        <v>0</v>
      </c>
      <c r="AC51" s="125" t="s">
        <v>73</v>
      </c>
      <c r="AD51">
        <v>3</v>
      </c>
      <c r="AE51">
        <v>3</v>
      </c>
      <c r="AF51">
        <v>0</v>
      </c>
      <c r="AG51">
        <v>3</v>
      </c>
      <c r="AH51">
        <v>0</v>
      </c>
      <c r="AI51">
        <v>45</v>
      </c>
      <c r="AJ51">
        <v>10</v>
      </c>
      <c r="AK51" s="125" t="s">
        <v>73</v>
      </c>
      <c r="AL51" s="125" t="s">
        <v>73</v>
      </c>
      <c r="AM51" s="126" t="s">
        <v>73</v>
      </c>
      <c r="AN51" s="125" t="s">
        <v>274</v>
      </c>
      <c r="AO51" s="56">
        <v>46006.608807870369</v>
      </c>
      <c r="AP51" s="56">
        <v>46006.567141203705</v>
      </c>
      <c r="AQ51" s="125" t="s">
        <v>73</v>
      </c>
      <c r="AR51" s="125" t="s">
        <v>73</v>
      </c>
      <c r="AS51" s="125" t="s">
        <v>73</v>
      </c>
      <c r="AT51" s="125" t="s">
        <v>73</v>
      </c>
      <c r="AU51" s="125" t="s">
        <v>73</v>
      </c>
      <c r="AV51" s="125" t="s">
        <v>73</v>
      </c>
      <c r="AW51">
        <v>0</v>
      </c>
      <c r="AX51" s="125" t="s">
        <v>73</v>
      </c>
      <c r="AY51" s="125" t="s">
        <v>158</v>
      </c>
      <c r="AZ51" s="125" t="s">
        <v>158</v>
      </c>
      <c r="BA51" s="125" t="s">
        <v>158</v>
      </c>
      <c r="BB51"/>
      <c r="BC51"/>
    </row>
    <row r="52" spans="1:55" ht="16" x14ac:dyDescent="0.2">
      <c r="A52" s="125" t="s">
        <v>154</v>
      </c>
      <c r="B52" s="125" t="s">
        <v>238</v>
      </c>
      <c r="C52" s="125" t="s">
        <v>239</v>
      </c>
      <c r="D52" s="125" t="s">
        <v>73</v>
      </c>
      <c r="E52" s="125" t="s">
        <v>72</v>
      </c>
      <c r="F52" s="125" t="s">
        <v>72</v>
      </c>
      <c r="G52" s="125" t="s">
        <v>73</v>
      </c>
      <c r="H52" s="125"/>
      <c r="I52">
        <v>14</v>
      </c>
      <c r="J52">
        <v>10</v>
      </c>
      <c r="L52">
        <v>4</v>
      </c>
      <c r="Q52">
        <v>0</v>
      </c>
      <c r="R52">
        <v>0</v>
      </c>
      <c r="S52">
        <v>0</v>
      </c>
      <c r="T52">
        <v>0</v>
      </c>
      <c r="U52" s="125" t="s">
        <v>73</v>
      </c>
      <c r="V52">
        <v>0</v>
      </c>
      <c r="W52">
        <v>0</v>
      </c>
      <c r="X52">
        <v>0</v>
      </c>
      <c r="Y52">
        <v>0</v>
      </c>
      <c r="Z52">
        <v>0</v>
      </c>
      <c r="AA52">
        <v>0</v>
      </c>
      <c r="AB52">
        <v>0</v>
      </c>
      <c r="AC52" s="125" t="s">
        <v>73</v>
      </c>
      <c r="AD52">
        <v>4</v>
      </c>
      <c r="AE52">
        <v>4</v>
      </c>
      <c r="AF52">
        <v>0</v>
      </c>
      <c r="AG52">
        <v>4</v>
      </c>
      <c r="AH52">
        <v>0</v>
      </c>
      <c r="AI52">
        <v>60</v>
      </c>
      <c r="AJ52">
        <v>12</v>
      </c>
      <c r="AK52" s="125" t="s">
        <v>73</v>
      </c>
      <c r="AL52" s="125" t="s">
        <v>73</v>
      </c>
      <c r="AM52" s="126" t="s">
        <v>73</v>
      </c>
      <c r="AN52" s="125" t="s">
        <v>240</v>
      </c>
      <c r="AO52" s="56">
        <v>46004.44740740741</v>
      </c>
      <c r="AP52" s="56">
        <v>46004.405740740738</v>
      </c>
      <c r="AQ52" s="125" t="s">
        <v>73</v>
      </c>
      <c r="AR52" s="125" t="s">
        <v>73</v>
      </c>
      <c r="AS52" s="125" t="s">
        <v>73</v>
      </c>
      <c r="AT52" s="125" t="s">
        <v>73</v>
      </c>
      <c r="AU52" s="125" t="s">
        <v>73</v>
      </c>
      <c r="AV52" s="125" t="s">
        <v>73</v>
      </c>
      <c r="AW52">
        <v>0</v>
      </c>
      <c r="AX52" s="125" t="s">
        <v>73</v>
      </c>
      <c r="AY52" s="125" t="s">
        <v>158</v>
      </c>
      <c r="AZ52" s="125" t="s">
        <v>158</v>
      </c>
      <c r="BA52" s="125" t="s">
        <v>158</v>
      </c>
      <c r="BB52"/>
      <c r="BC52"/>
    </row>
    <row r="53" spans="1:55" ht="16" x14ac:dyDescent="0.2">
      <c r="A53" s="125" t="s">
        <v>154</v>
      </c>
      <c r="B53" s="125" t="s">
        <v>209</v>
      </c>
      <c r="C53" s="125" t="s">
        <v>210</v>
      </c>
      <c r="D53" s="125" t="s">
        <v>73</v>
      </c>
      <c r="E53" s="125" t="s">
        <v>72</v>
      </c>
      <c r="F53" s="125" t="s">
        <v>72</v>
      </c>
      <c r="G53" s="125" t="s">
        <v>72</v>
      </c>
      <c r="H53" s="125" t="s">
        <v>72</v>
      </c>
      <c r="I53">
        <v>8</v>
      </c>
      <c r="J53">
        <v>4</v>
      </c>
      <c r="N53">
        <v>4</v>
      </c>
      <c r="Q53">
        <v>3</v>
      </c>
      <c r="R53">
        <v>1</v>
      </c>
      <c r="S53">
        <v>2</v>
      </c>
      <c r="T53">
        <v>0</v>
      </c>
      <c r="U53" s="125" t="s">
        <v>73</v>
      </c>
      <c r="V53">
        <v>0</v>
      </c>
      <c r="W53">
        <v>0</v>
      </c>
      <c r="X53">
        <v>8</v>
      </c>
      <c r="Y53">
        <v>6</v>
      </c>
      <c r="Z53">
        <v>1</v>
      </c>
      <c r="AA53">
        <v>0</v>
      </c>
      <c r="AB53">
        <v>1</v>
      </c>
      <c r="AC53" s="125" t="s">
        <v>73</v>
      </c>
      <c r="AD53">
        <v>6</v>
      </c>
      <c r="AE53">
        <v>0</v>
      </c>
      <c r="AF53">
        <v>0</v>
      </c>
      <c r="AG53">
        <v>6</v>
      </c>
      <c r="AH53">
        <v>1</v>
      </c>
      <c r="AI53">
        <v>75</v>
      </c>
      <c r="AJ53">
        <v>27</v>
      </c>
      <c r="AK53" s="125" t="s">
        <v>72</v>
      </c>
      <c r="AL53" s="125" t="s">
        <v>73</v>
      </c>
      <c r="AM53" s="126" t="s">
        <v>73</v>
      </c>
      <c r="AN53" s="125" t="s">
        <v>222</v>
      </c>
      <c r="AO53" s="56">
        <v>46002.949131944442</v>
      </c>
      <c r="AP53" s="56">
        <v>46002.907465277778</v>
      </c>
      <c r="AQ53" s="125" t="s">
        <v>73</v>
      </c>
      <c r="AR53" s="125" t="s">
        <v>73</v>
      </c>
      <c r="AS53" s="125" t="s">
        <v>73</v>
      </c>
      <c r="AT53" s="125" t="s">
        <v>73</v>
      </c>
      <c r="AU53" s="125" t="s">
        <v>73</v>
      </c>
      <c r="AV53" s="125" t="s">
        <v>73</v>
      </c>
      <c r="AW53">
        <v>0</v>
      </c>
      <c r="AX53" s="125" t="s">
        <v>73</v>
      </c>
      <c r="AY53" s="125" t="s">
        <v>158</v>
      </c>
      <c r="AZ53" s="125" t="s">
        <v>158</v>
      </c>
      <c r="BA53" s="125" t="s">
        <v>158</v>
      </c>
      <c r="BB53"/>
      <c r="BC53"/>
    </row>
    <row r="54" spans="1:55" ht="16" x14ac:dyDescent="0.2">
      <c r="A54" s="125" t="s">
        <v>154</v>
      </c>
      <c r="B54" s="125" t="s">
        <v>199</v>
      </c>
      <c r="C54" s="125" t="s">
        <v>200</v>
      </c>
      <c r="D54" s="125" t="s">
        <v>73</v>
      </c>
      <c r="E54" s="125" t="s">
        <v>72</v>
      </c>
      <c r="F54" s="125" t="s">
        <v>73</v>
      </c>
      <c r="G54" s="125" t="s">
        <v>73</v>
      </c>
      <c r="H54" s="125"/>
      <c r="I54">
        <v>4</v>
      </c>
      <c r="Q54">
        <v>0</v>
      </c>
      <c r="R54">
        <v>0</v>
      </c>
      <c r="S54">
        <v>0</v>
      </c>
      <c r="T54">
        <v>0</v>
      </c>
      <c r="U54" s="125" t="s">
        <v>73</v>
      </c>
      <c r="V54">
        <v>0</v>
      </c>
      <c r="W54">
        <v>0</v>
      </c>
      <c r="X54">
        <v>0</v>
      </c>
      <c r="Y54">
        <v>0</v>
      </c>
      <c r="Z54">
        <v>0</v>
      </c>
      <c r="AA54">
        <v>0</v>
      </c>
      <c r="AB54">
        <v>0</v>
      </c>
      <c r="AC54" s="125" t="s">
        <v>72</v>
      </c>
      <c r="AD54">
        <v>6</v>
      </c>
      <c r="AE54">
        <v>6</v>
      </c>
      <c r="AF54">
        <v>0</v>
      </c>
      <c r="AG54">
        <v>6</v>
      </c>
      <c r="AH54">
        <v>0</v>
      </c>
      <c r="AI54">
        <v>30</v>
      </c>
      <c r="AJ54">
        <v>0</v>
      </c>
      <c r="AK54" s="125" t="s">
        <v>73</v>
      </c>
      <c r="AL54" s="125" t="s">
        <v>73</v>
      </c>
      <c r="AM54" s="126" t="s">
        <v>73</v>
      </c>
      <c r="AN54" s="125" t="s">
        <v>201</v>
      </c>
      <c r="AO54" s="56">
        <v>46000.938506944447</v>
      </c>
      <c r="AP54" s="56">
        <v>46000.896840277775</v>
      </c>
      <c r="AQ54" s="125" t="s">
        <v>73</v>
      </c>
      <c r="AR54" s="125" t="s">
        <v>73</v>
      </c>
      <c r="AS54" s="125" t="s">
        <v>73</v>
      </c>
      <c r="AT54" s="125" t="s">
        <v>73</v>
      </c>
      <c r="AU54" s="125" t="s">
        <v>73</v>
      </c>
      <c r="AV54" s="125" t="s">
        <v>73</v>
      </c>
      <c r="AW54">
        <v>0</v>
      </c>
      <c r="AX54" s="125" t="s">
        <v>73</v>
      </c>
      <c r="AY54" s="125" t="s">
        <v>158</v>
      </c>
      <c r="AZ54" s="125" t="s">
        <v>158</v>
      </c>
      <c r="BA54" s="125" t="s">
        <v>158</v>
      </c>
      <c r="BB54"/>
      <c r="BC54"/>
    </row>
    <row r="55" spans="1:55" ht="16" x14ac:dyDescent="0.2">
      <c r="A55" s="125" t="s">
        <v>154</v>
      </c>
      <c r="B55" s="125" t="s">
        <v>162</v>
      </c>
      <c r="C55" s="125" t="s">
        <v>163</v>
      </c>
      <c r="D55" s="125" t="s">
        <v>73</v>
      </c>
      <c r="E55" s="125" t="s">
        <v>72</v>
      </c>
      <c r="F55" s="125" t="s">
        <v>72</v>
      </c>
      <c r="G55" s="125" t="s">
        <v>73</v>
      </c>
      <c r="H55" s="125"/>
      <c r="I55">
        <v>8</v>
      </c>
      <c r="Q55">
        <v>0</v>
      </c>
      <c r="R55">
        <v>0</v>
      </c>
      <c r="S55">
        <v>0</v>
      </c>
      <c r="T55">
        <v>0</v>
      </c>
      <c r="U55" s="125" t="s">
        <v>73</v>
      </c>
      <c r="V55">
        <v>0</v>
      </c>
      <c r="W55">
        <v>0</v>
      </c>
      <c r="X55">
        <v>3</v>
      </c>
      <c r="Y55">
        <v>3</v>
      </c>
      <c r="Z55">
        <v>0</v>
      </c>
      <c r="AA55">
        <v>0</v>
      </c>
      <c r="AB55">
        <v>0</v>
      </c>
      <c r="AC55" s="125" t="s">
        <v>72</v>
      </c>
      <c r="AD55">
        <v>6</v>
      </c>
      <c r="AE55">
        <v>4</v>
      </c>
      <c r="AF55">
        <v>0</v>
      </c>
      <c r="AG55">
        <v>6</v>
      </c>
      <c r="AH55">
        <v>0</v>
      </c>
      <c r="AI55">
        <v>60</v>
      </c>
      <c r="AJ55">
        <v>6</v>
      </c>
      <c r="AK55" s="125" t="s">
        <v>72</v>
      </c>
      <c r="AL55" s="125" t="s">
        <v>72</v>
      </c>
      <c r="AM55" s="126" t="s">
        <v>73</v>
      </c>
      <c r="AN55" s="125" t="s">
        <v>164</v>
      </c>
      <c r="AO55" s="56">
        <v>45993.926157407404</v>
      </c>
      <c r="AP55" s="56">
        <v>45993.88449074074</v>
      </c>
      <c r="AQ55" s="125" t="s">
        <v>73</v>
      </c>
      <c r="AR55" s="125" t="s">
        <v>73</v>
      </c>
      <c r="AS55" s="125" t="s">
        <v>73</v>
      </c>
      <c r="AT55" s="125" t="s">
        <v>73</v>
      </c>
      <c r="AU55" s="125" t="s">
        <v>73</v>
      </c>
      <c r="AV55" s="125" t="s">
        <v>73</v>
      </c>
      <c r="AW55">
        <v>0</v>
      </c>
      <c r="AX55" s="125" t="s">
        <v>73</v>
      </c>
      <c r="AY55" s="125" t="s">
        <v>158</v>
      </c>
      <c r="AZ55" s="125" t="s">
        <v>158</v>
      </c>
      <c r="BA55" s="125" t="s">
        <v>158</v>
      </c>
      <c r="BB55"/>
      <c r="BC55"/>
    </row>
    <row r="56" spans="1:55" ht="144" x14ac:dyDescent="0.2">
      <c r="A56" s="125" t="s">
        <v>223</v>
      </c>
      <c r="B56" s="125" t="s">
        <v>435</v>
      </c>
      <c r="C56" s="125" t="s">
        <v>436</v>
      </c>
      <c r="D56" s="125" t="s">
        <v>73</v>
      </c>
      <c r="E56" s="125" t="s">
        <v>72</v>
      </c>
      <c r="F56" s="125" t="s">
        <v>72</v>
      </c>
      <c r="G56" s="125" t="s">
        <v>73</v>
      </c>
      <c r="H56" s="125"/>
      <c r="Q56">
        <v>0</v>
      </c>
      <c r="R56">
        <v>0</v>
      </c>
      <c r="S56">
        <v>0</v>
      </c>
      <c r="T56">
        <v>0</v>
      </c>
      <c r="U56" s="125" t="s">
        <v>73</v>
      </c>
      <c r="V56">
        <v>0</v>
      </c>
      <c r="W56">
        <v>0</v>
      </c>
      <c r="X56">
        <v>0</v>
      </c>
      <c r="Y56">
        <v>0</v>
      </c>
      <c r="Z56">
        <v>0</v>
      </c>
      <c r="AA56">
        <v>0</v>
      </c>
      <c r="AB56">
        <v>0</v>
      </c>
      <c r="AC56" s="125" t="s">
        <v>73</v>
      </c>
      <c r="AD56">
        <v>0</v>
      </c>
      <c r="AE56">
        <v>0</v>
      </c>
      <c r="AF56">
        <v>0</v>
      </c>
      <c r="AG56">
        <v>0</v>
      </c>
      <c r="AH56">
        <v>0</v>
      </c>
      <c r="AI56">
        <v>3</v>
      </c>
      <c r="AJ56">
        <v>1</v>
      </c>
      <c r="AK56" s="125" t="s">
        <v>73</v>
      </c>
      <c r="AL56" s="125" t="s">
        <v>73</v>
      </c>
      <c r="AM56" s="126" t="s">
        <v>437</v>
      </c>
      <c r="AN56" s="125" t="s">
        <v>438</v>
      </c>
      <c r="AO56" s="56">
        <v>46021.504652777781</v>
      </c>
      <c r="AP56" s="56">
        <v>46021.46298611111</v>
      </c>
      <c r="AQ56" s="125" t="s">
        <v>73</v>
      </c>
      <c r="AR56" s="125" t="s">
        <v>73</v>
      </c>
      <c r="AS56" s="125" t="s">
        <v>73</v>
      </c>
      <c r="AT56" s="125" t="s">
        <v>73</v>
      </c>
      <c r="AU56" s="125" t="s">
        <v>73</v>
      </c>
      <c r="AV56" s="125" t="s">
        <v>73</v>
      </c>
      <c r="AW56">
        <v>0</v>
      </c>
      <c r="AX56" s="125" t="s">
        <v>73</v>
      </c>
      <c r="AY56" s="125" t="s">
        <v>158</v>
      </c>
      <c r="AZ56" s="125" t="s">
        <v>158</v>
      </c>
      <c r="BA56" s="125" t="s">
        <v>158</v>
      </c>
      <c r="BB56"/>
      <c r="BC56"/>
    </row>
    <row r="57" spans="1:55" ht="16" x14ac:dyDescent="0.2">
      <c r="A57" s="125" t="s">
        <v>223</v>
      </c>
      <c r="B57" s="125" t="s">
        <v>370</v>
      </c>
      <c r="C57" s="125" t="s">
        <v>371</v>
      </c>
      <c r="D57" s="125" t="s">
        <v>73</v>
      </c>
      <c r="E57" s="125" t="s">
        <v>72</v>
      </c>
      <c r="F57" s="125" t="s">
        <v>72</v>
      </c>
      <c r="G57" s="125" t="s">
        <v>73</v>
      </c>
      <c r="H57" s="125"/>
      <c r="Q57">
        <v>0</v>
      </c>
      <c r="R57">
        <v>0</v>
      </c>
      <c r="S57">
        <v>0</v>
      </c>
      <c r="T57">
        <v>0</v>
      </c>
      <c r="U57" s="125" t="s">
        <v>73</v>
      </c>
      <c r="V57">
        <v>0</v>
      </c>
      <c r="W57">
        <v>0</v>
      </c>
      <c r="X57">
        <v>0</v>
      </c>
      <c r="Y57">
        <v>0</v>
      </c>
      <c r="Z57">
        <v>0</v>
      </c>
      <c r="AA57">
        <v>0</v>
      </c>
      <c r="AB57">
        <v>0</v>
      </c>
      <c r="AC57" s="125" t="s">
        <v>73</v>
      </c>
      <c r="AD57">
        <v>0</v>
      </c>
      <c r="AE57">
        <v>0</v>
      </c>
      <c r="AF57">
        <v>0</v>
      </c>
      <c r="AG57">
        <v>0</v>
      </c>
      <c r="AH57">
        <v>0</v>
      </c>
      <c r="AI57">
        <v>10</v>
      </c>
      <c r="AJ57">
        <v>0</v>
      </c>
      <c r="AK57" s="125" t="s">
        <v>73</v>
      </c>
      <c r="AL57" s="125" t="s">
        <v>73</v>
      </c>
      <c r="AM57" s="126" t="s">
        <v>73</v>
      </c>
      <c r="AN57" s="125" t="s">
        <v>372</v>
      </c>
      <c r="AO57" s="56">
        <v>46015.715069444443</v>
      </c>
      <c r="AP57" s="56">
        <v>46015.673402777778</v>
      </c>
      <c r="AQ57" s="125" t="s">
        <v>73</v>
      </c>
      <c r="AR57" s="125" t="s">
        <v>73</v>
      </c>
      <c r="AS57" s="125" t="s">
        <v>73</v>
      </c>
      <c r="AT57" s="125" t="s">
        <v>73</v>
      </c>
      <c r="AU57" s="125" t="s">
        <v>73</v>
      </c>
      <c r="AV57" s="125" t="s">
        <v>73</v>
      </c>
      <c r="AW57">
        <v>0</v>
      </c>
      <c r="AX57" s="125" t="s">
        <v>73</v>
      </c>
      <c r="AY57" s="125" t="s">
        <v>158</v>
      </c>
      <c r="AZ57" s="125" t="s">
        <v>158</v>
      </c>
      <c r="BA57" s="125" t="s">
        <v>158</v>
      </c>
      <c r="BB57"/>
      <c r="BC57"/>
    </row>
    <row r="58" spans="1:55" ht="16" x14ac:dyDescent="0.2">
      <c r="A58" s="125" t="s">
        <v>223</v>
      </c>
      <c r="B58" s="125" t="s">
        <v>338</v>
      </c>
      <c r="C58" s="125" t="s">
        <v>339</v>
      </c>
      <c r="D58" s="125" t="s">
        <v>73</v>
      </c>
      <c r="E58" s="125" t="s">
        <v>72</v>
      </c>
      <c r="F58" s="125" t="s">
        <v>72</v>
      </c>
      <c r="G58" s="125" t="s">
        <v>73</v>
      </c>
      <c r="H58" s="125"/>
      <c r="Q58">
        <v>0</v>
      </c>
      <c r="R58">
        <v>0</v>
      </c>
      <c r="S58">
        <v>0</v>
      </c>
      <c r="T58">
        <v>0</v>
      </c>
      <c r="U58" s="125" t="s">
        <v>73</v>
      </c>
      <c r="V58">
        <v>0</v>
      </c>
      <c r="W58">
        <v>0</v>
      </c>
      <c r="X58">
        <v>0</v>
      </c>
      <c r="Y58">
        <v>0</v>
      </c>
      <c r="Z58">
        <v>0</v>
      </c>
      <c r="AA58">
        <v>0</v>
      </c>
      <c r="AB58">
        <v>0</v>
      </c>
      <c r="AC58" s="125" t="s">
        <v>73</v>
      </c>
      <c r="AD58">
        <v>0</v>
      </c>
      <c r="AE58">
        <v>0</v>
      </c>
      <c r="AF58">
        <v>0</v>
      </c>
      <c r="AG58">
        <v>0</v>
      </c>
      <c r="AH58">
        <v>0</v>
      </c>
      <c r="AI58">
        <v>1</v>
      </c>
      <c r="AJ58">
        <v>1</v>
      </c>
      <c r="AK58" s="125" t="s">
        <v>73</v>
      </c>
      <c r="AL58" s="125" t="s">
        <v>73</v>
      </c>
      <c r="AM58" s="126" t="s">
        <v>73</v>
      </c>
      <c r="AN58" s="125" t="s">
        <v>340</v>
      </c>
      <c r="AO58" s="56">
        <v>46013.519826388889</v>
      </c>
      <c r="AP58" s="56">
        <v>46013.478159722225</v>
      </c>
      <c r="AQ58" s="125" t="s">
        <v>73</v>
      </c>
      <c r="AR58" s="125" t="s">
        <v>73</v>
      </c>
      <c r="AS58" s="125" t="s">
        <v>73</v>
      </c>
      <c r="AT58" s="125" t="s">
        <v>73</v>
      </c>
      <c r="AU58" s="125" t="s">
        <v>73</v>
      </c>
      <c r="AV58" s="125" t="s">
        <v>73</v>
      </c>
      <c r="AW58">
        <v>0</v>
      </c>
      <c r="AX58" s="125" t="s">
        <v>73</v>
      </c>
      <c r="AY58" s="125" t="s">
        <v>158</v>
      </c>
      <c r="AZ58" s="125" t="s">
        <v>158</v>
      </c>
      <c r="BA58" s="125" t="s">
        <v>158</v>
      </c>
      <c r="BB58"/>
      <c r="BC58"/>
    </row>
    <row r="59" spans="1:55" ht="32" x14ac:dyDescent="0.2">
      <c r="A59" s="125" t="s">
        <v>223</v>
      </c>
      <c r="B59" s="125" t="s">
        <v>341</v>
      </c>
      <c r="C59" s="125" t="s">
        <v>342</v>
      </c>
      <c r="D59" s="125" t="s">
        <v>73</v>
      </c>
      <c r="E59" s="125" t="s">
        <v>72</v>
      </c>
      <c r="F59" s="125" t="s">
        <v>72</v>
      </c>
      <c r="G59" s="125" t="s">
        <v>73</v>
      </c>
      <c r="H59" s="125"/>
      <c r="Q59">
        <v>0</v>
      </c>
      <c r="R59">
        <v>0</v>
      </c>
      <c r="S59">
        <v>0</v>
      </c>
      <c r="T59">
        <v>0</v>
      </c>
      <c r="U59" s="125" t="s">
        <v>73</v>
      </c>
      <c r="V59">
        <v>0</v>
      </c>
      <c r="W59">
        <v>0</v>
      </c>
      <c r="X59">
        <v>0</v>
      </c>
      <c r="Y59">
        <v>0</v>
      </c>
      <c r="Z59">
        <v>0</v>
      </c>
      <c r="AA59">
        <v>0</v>
      </c>
      <c r="AB59">
        <v>0</v>
      </c>
      <c r="AC59" s="125" t="s">
        <v>73</v>
      </c>
      <c r="AD59">
        <v>0</v>
      </c>
      <c r="AE59">
        <v>0</v>
      </c>
      <c r="AF59">
        <v>0</v>
      </c>
      <c r="AG59">
        <v>0</v>
      </c>
      <c r="AH59">
        <v>0</v>
      </c>
      <c r="AI59">
        <v>35</v>
      </c>
      <c r="AJ59">
        <v>4</v>
      </c>
      <c r="AK59" s="125" t="s">
        <v>73</v>
      </c>
      <c r="AL59" s="125" t="s">
        <v>73</v>
      </c>
      <c r="AM59" s="126" t="s">
        <v>343</v>
      </c>
      <c r="AN59" s="125" t="s">
        <v>344</v>
      </c>
      <c r="AO59" s="56">
        <v>46013.473368055558</v>
      </c>
      <c r="AP59" s="56">
        <v>46013.431701388887</v>
      </c>
      <c r="AQ59" s="125" t="s">
        <v>73</v>
      </c>
      <c r="AR59" s="125" t="s">
        <v>73</v>
      </c>
      <c r="AS59" s="125" t="s">
        <v>73</v>
      </c>
      <c r="AT59" s="125" t="s">
        <v>73</v>
      </c>
      <c r="AU59" s="125" t="s">
        <v>73</v>
      </c>
      <c r="AV59" s="125" t="s">
        <v>73</v>
      </c>
      <c r="AW59">
        <v>0</v>
      </c>
      <c r="AX59" s="125" t="s">
        <v>73</v>
      </c>
      <c r="AY59" s="125" t="s">
        <v>158</v>
      </c>
      <c r="AZ59" s="125" t="s">
        <v>158</v>
      </c>
      <c r="BA59" s="125" t="s">
        <v>158</v>
      </c>
      <c r="BB59"/>
      <c r="BC59"/>
    </row>
    <row r="60" spans="1:55" ht="16" x14ac:dyDescent="0.2">
      <c r="A60" s="125" t="s">
        <v>223</v>
      </c>
      <c r="B60" s="125" t="s">
        <v>275</v>
      </c>
      <c r="C60" s="125" t="s">
        <v>276</v>
      </c>
      <c r="D60" s="125" t="s">
        <v>73</v>
      </c>
      <c r="E60" s="125" t="s">
        <v>72</v>
      </c>
      <c r="F60" s="125" t="s">
        <v>72</v>
      </c>
      <c r="G60" s="125" t="s">
        <v>73</v>
      </c>
      <c r="H60" s="125"/>
      <c r="Q60">
        <v>0</v>
      </c>
      <c r="R60">
        <v>0</v>
      </c>
      <c r="S60">
        <v>0</v>
      </c>
      <c r="T60">
        <v>0</v>
      </c>
      <c r="U60" s="125" t="s">
        <v>73</v>
      </c>
      <c r="V60">
        <v>0</v>
      </c>
      <c r="W60">
        <v>0</v>
      </c>
      <c r="X60">
        <v>0</v>
      </c>
      <c r="Y60">
        <v>0</v>
      </c>
      <c r="Z60">
        <v>0</v>
      </c>
      <c r="AA60">
        <v>0</v>
      </c>
      <c r="AB60">
        <v>0</v>
      </c>
      <c r="AC60" s="125" t="s">
        <v>73</v>
      </c>
      <c r="AD60">
        <v>0</v>
      </c>
      <c r="AE60">
        <v>0</v>
      </c>
      <c r="AF60">
        <v>0</v>
      </c>
      <c r="AG60">
        <v>0</v>
      </c>
      <c r="AH60">
        <v>0</v>
      </c>
      <c r="AI60">
        <v>16</v>
      </c>
      <c r="AJ60">
        <v>1</v>
      </c>
      <c r="AK60" s="125" t="s">
        <v>73</v>
      </c>
      <c r="AL60" s="125" t="s">
        <v>73</v>
      </c>
      <c r="AM60" s="126" t="s">
        <v>277</v>
      </c>
      <c r="AN60" s="125" t="s">
        <v>278</v>
      </c>
      <c r="AO60" s="56">
        <v>46006.740833333337</v>
      </c>
      <c r="AP60" s="56">
        <v>46006.699166666665</v>
      </c>
      <c r="AQ60" s="125" t="s">
        <v>73</v>
      </c>
      <c r="AR60" s="125" t="s">
        <v>73</v>
      </c>
      <c r="AS60" s="125" t="s">
        <v>73</v>
      </c>
      <c r="AT60" s="125" t="s">
        <v>73</v>
      </c>
      <c r="AU60" s="125" t="s">
        <v>73</v>
      </c>
      <c r="AV60" s="125" t="s">
        <v>73</v>
      </c>
      <c r="AW60">
        <v>0</v>
      </c>
      <c r="AX60" s="125" t="s">
        <v>73</v>
      </c>
      <c r="AY60" s="125" t="s">
        <v>158</v>
      </c>
      <c r="AZ60" s="125" t="s">
        <v>158</v>
      </c>
      <c r="BA60" s="125" t="s">
        <v>158</v>
      </c>
      <c r="BB60"/>
      <c r="BC60"/>
    </row>
    <row r="61" spans="1:55" ht="16" x14ac:dyDescent="0.2">
      <c r="A61" s="125" t="s">
        <v>223</v>
      </c>
      <c r="B61" s="125" t="s">
        <v>279</v>
      </c>
      <c r="C61" s="125" t="s">
        <v>280</v>
      </c>
      <c r="D61" s="125" t="s">
        <v>73</v>
      </c>
      <c r="E61" s="125" t="s">
        <v>72</v>
      </c>
      <c r="F61" s="125" t="s">
        <v>72</v>
      </c>
      <c r="G61" s="125" t="s">
        <v>73</v>
      </c>
      <c r="H61" s="125"/>
      <c r="Q61">
        <v>0</v>
      </c>
      <c r="R61">
        <v>0</v>
      </c>
      <c r="S61">
        <v>0</v>
      </c>
      <c r="T61">
        <v>0</v>
      </c>
      <c r="U61" s="125" t="s">
        <v>73</v>
      </c>
      <c r="V61">
        <v>0</v>
      </c>
      <c r="W61">
        <v>0</v>
      </c>
      <c r="X61">
        <v>0</v>
      </c>
      <c r="Y61">
        <v>0</v>
      </c>
      <c r="Z61">
        <v>0</v>
      </c>
      <c r="AA61">
        <v>0</v>
      </c>
      <c r="AB61">
        <v>0</v>
      </c>
      <c r="AC61" s="125" t="s">
        <v>73</v>
      </c>
      <c r="AD61">
        <v>0</v>
      </c>
      <c r="AE61">
        <v>0</v>
      </c>
      <c r="AF61">
        <v>0</v>
      </c>
      <c r="AG61">
        <v>0</v>
      </c>
      <c r="AH61">
        <v>0</v>
      </c>
      <c r="AI61">
        <v>2</v>
      </c>
      <c r="AJ61">
        <v>0</v>
      </c>
      <c r="AK61" s="125" t="s">
        <v>73</v>
      </c>
      <c r="AL61" s="125" t="s">
        <v>73</v>
      </c>
      <c r="AM61" s="126" t="s">
        <v>73</v>
      </c>
      <c r="AN61" s="125" t="s">
        <v>281</v>
      </c>
      <c r="AO61" s="56">
        <v>46006.457418981481</v>
      </c>
      <c r="AP61" s="56">
        <v>46006.415752314817</v>
      </c>
      <c r="AQ61" s="125" t="s">
        <v>73</v>
      </c>
      <c r="AR61" s="125" t="s">
        <v>73</v>
      </c>
      <c r="AS61" s="125" t="s">
        <v>73</v>
      </c>
      <c r="AT61" s="125" t="s">
        <v>73</v>
      </c>
      <c r="AU61" s="125" t="s">
        <v>73</v>
      </c>
      <c r="AV61" s="125" t="s">
        <v>73</v>
      </c>
      <c r="AW61">
        <v>0</v>
      </c>
      <c r="AX61" s="125" t="s">
        <v>73</v>
      </c>
      <c r="AY61" s="125" t="s">
        <v>158</v>
      </c>
      <c r="AZ61" s="125" t="s">
        <v>158</v>
      </c>
      <c r="BA61" s="125" t="s">
        <v>158</v>
      </c>
      <c r="BB61"/>
      <c r="BC61"/>
    </row>
    <row r="62" spans="1:55" ht="16" x14ac:dyDescent="0.2">
      <c r="A62" s="125" t="s">
        <v>223</v>
      </c>
      <c r="B62" s="125" t="s">
        <v>248</v>
      </c>
      <c r="C62" s="125" t="s">
        <v>249</v>
      </c>
      <c r="D62" s="125" t="s">
        <v>73</v>
      </c>
      <c r="E62" s="125" t="s">
        <v>72</v>
      </c>
      <c r="F62" s="125" t="s">
        <v>72</v>
      </c>
      <c r="G62" s="125" t="s">
        <v>73</v>
      </c>
      <c r="H62" s="125"/>
      <c r="Q62">
        <v>0</v>
      </c>
      <c r="R62">
        <v>0</v>
      </c>
      <c r="S62">
        <v>0</v>
      </c>
      <c r="T62">
        <v>0</v>
      </c>
      <c r="U62" s="125" t="s">
        <v>73</v>
      </c>
      <c r="V62">
        <v>0</v>
      </c>
      <c r="W62">
        <v>0</v>
      </c>
      <c r="X62">
        <v>0</v>
      </c>
      <c r="Y62">
        <v>0</v>
      </c>
      <c r="Z62">
        <v>0</v>
      </c>
      <c r="AA62">
        <v>0</v>
      </c>
      <c r="AB62">
        <v>0</v>
      </c>
      <c r="AC62" s="125" t="s">
        <v>73</v>
      </c>
      <c r="AD62">
        <v>0</v>
      </c>
      <c r="AE62">
        <v>0</v>
      </c>
      <c r="AF62">
        <v>0</v>
      </c>
      <c r="AG62">
        <v>0</v>
      </c>
      <c r="AH62">
        <v>0</v>
      </c>
      <c r="AI62">
        <v>46</v>
      </c>
      <c r="AJ62">
        <v>46</v>
      </c>
      <c r="AK62" s="125" t="s">
        <v>73</v>
      </c>
      <c r="AL62" s="125" t="s">
        <v>73</v>
      </c>
      <c r="AM62" s="126" t="s">
        <v>73</v>
      </c>
      <c r="AN62" s="125" t="s">
        <v>250</v>
      </c>
      <c r="AO62" s="56">
        <v>46005.58252314815</v>
      </c>
      <c r="AP62" s="56">
        <v>46005.540856481479</v>
      </c>
      <c r="AQ62" s="125" t="s">
        <v>73</v>
      </c>
      <c r="AR62" s="125" t="s">
        <v>73</v>
      </c>
      <c r="AS62" s="125" t="s">
        <v>73</v>
      </c>
      <c r="AT62" s="125" t="s">
        <v>73</v>
      </c>
      <c r="AU62" s="125" t="s">
        <v>73</v>
      </c>
      <c r="AV62" s="125" t="s">
        <v>73</v>
      </c>
      <c r="AW62">
        <v>0</v>
      </c>
      <c r="AX62" s="125" t="s">
        <v>73</v>
      </c>
      <c r="AY62" s="125" t="s">
        <v>158</v>
      </c>
      <c r="AZ62" s="125" t="s">
        <v>158</v>
      </c>
      <c r="BA62" s="125" t="s">
        <v>158</v>
      </c>
      <c r="BB62"/>
      <c r="BC62"/>
    </row>
    <row r="63" spans="1:55" ht="16" x14ac:dyDescent="0.2">
      <c r="A63" s="125" t="s">
        <v>223</v>
      </c>
      <c r="B63" s="125" t="s">
        <v>251</v>
      </c>
      <c r="C63" s="125" t="s">
        <v>252</v>
      </c>
      <c r="D63" s="125" t="s">
        <v>73</v>
      </c>
      <c r="E63" s="125" t="s">
        <v>72</v>
      </c>
      <c r="F63" s="125" t="s">
        <v>73</v>
      </c>
      <c r="G63" s="125" t="s">
        <v>73</v>
      </c>
      <c r="H63" s="125"/>
      <c r="Q63">
        <v>0</v>
      </c>
      <c r="R63">
        <v>0</v>
      </c>
      <c r="S63">
        <v>0</v>
      </c>
      <c r="T63">
        <v>0</v>
      </c>
      <c r="U63" s="125" t="s">
        <v>73</v>
      </c>
      <c r="V63">
        <v>0</v>
      </c>
      <c r="W63">
        <v>0</v>
      </c>
      <c r="X63">
        <v>0</v>
      </c>
      <c r="Y63">
        <v>0</v>
      </c>
      <c r="Z63">
        <v>0</v>
      </c>
      <c r="AA63">
        <v>0</v>
      </c>
      <c r="AB63">
        <v>0</v>
      </c>
      <c r="AC63" s="125" t="s">
        <v>73</v>
      </c>
      <c r="AD63">
        <v>0</v>
      </c>
      <c r="AE63">
        <v>0</v>
      </c>
      <c r="AF63">
        <v>0</v>
      </c>
      <c r="AG63">
        <v>0</v>
      </c>
      <c r="AH63">
        <v>0</v>
      </c>
      <c r="AI63">
        <v>90</v>
      </c>
      <c r="AJ63">
        <v>0</v>
      </c>
      <c r="AK63" s="125" t="s">
        <v>73</v>
      </c>
      <c r="AL63" s="125" t="s">
        <v>73</v>
      </c>
      <c r="AM63" s="126" t="s">
        <v>73</v>
      </c>
      <c r="AN63" s="125" t="s">
        <v>253</v>
      </c>
      <c r="AO63" s="56">
        <v>46005.544618055559</v>
      </c>
      <c r="AP63" s="56">
        <v>46005.502951388888</v>
      </c>
      <c r="AQ63" s="125" t="s">
        <v>73</v>
      </c>
      <c r="AR63" s="125" t="s">
        <v>73</v>
      </c>
      <c r="AS63" s="125" t="s">
        <v>73</v>
      </c>
      <c r="AT63" s="125" t="s">
        <v>73</v>
      </c>
      <c r="AU63" s="125" t="s">
        <v>73</v>
      </c>
      <c r="AV63" s="125" t="s">
        <v>73</v>
      </c>
      <c r="AW63">
        <v>0</v>
      </c>
      <c r="AX63" s="125" t="s">
        <v>73</v>
      </c>
      <c r="AY63" s="125" t="s">
        <v>158</v>
      </c>
      <c r="AZ63" s="125" t="s">
        <v>158</v>
      </c>
      <c r="BA63" s="125" t="s">
        <v>158</v>
      </c>
      <c r="BB63"/>
      <c r="BC63"/>
    </row>
    <row r="64" spans="1:55" ht="32" x14ac:dyDescent="0.2">
      <c r="A64" s="125" t="s">
        <v>223</v>
      </c>
      <c r="B64" s="125" t="s">
        <v>224</v>
      </c>
      <c r="C64" s="125" t="s">
        <v>225</v>
      </c>
      <c r="D64" s="125" t="s">
        <v>73</v>
      </c>
      <c r="E64" s="125" t="s">
        <v>72</v>
      </c>
      <c r="F64" s="125" t="s">
        <v>72</v>
      </c>
      <c r="G64" s="125" t="s">
        <v>73</v>
      </c>
      <c r="H64" s="125"/>
      <c r="Q64">
        <v>0</v>
      </c>
      <c r="R64">
        <v>0</v>
      </c>
      <c r="S64">
        <v>0</v>
      </c>
      <c r="T64">
        <v>0</v>
      </c>
      <c r="U64" s="125" t="s">
        <v>73</v>
      </c>
      <c r="V64">
        <v>0</v>
      </c>
      <c r="W64">
        <v>0</v>
      </c>
      <c r="X64">
        <v>0</v>
      </c>
      <c r="Y64">
        <v>0</v>
      </c>
      <c r="Z64">
        <v>0</v>
      </c>
      <c r="AA64">
        <v>0</v>
      </c>
      <c r="AB64">
        <v>0</v>
      </c>
      <c r="AC64" s="125" t="s">
        <v>73</v>
      </c>
      <c r="AD64">
        <v>0</v>
      </c>
      <c r="AE64">
        <v>0</v>
      </c>
      <c r="AF64">
        <v>0</v>
      </c>
      <c r="AG64">
        <v>0</v>
      </c>
      <c r="AH64">
        <v>0</v>
      </c>
      <c r="AI64">
        <v>2</v>
      </c>
      <c r="AJ64">
        <v>1</v>
      </c>
      <c r="AK64" s="125" t="s">
        <v>73</v>
      </c>
      <c r="AL64" s="125" t="s">
        <v>73</v>
      </c>
      <c r="AM64" s="126" t="s">
        <v>226</v>
      </c>
      <c r="AN64" s="125" t="s">
        <v>227</v>
      </c>
      <c r="AO64" s="56">
        <v>46003.773634259262</v>
      </c>
      <c r="AP64" s="56">
        <v>46003.73196759259</v>
      </c>
      <c r="AQ64" s="125" t="s">
        <v>73</v>
      </c>
      <c r="AR64" s="125" t="s">
        <v>73</v>
      </c>
      <c r="AS64" s="125" t="s">
        <v>73</v>
      </c>
      <c r="AT64" s="125" t="s">
        <v>73</v>
      </c>
      <c r="AU64" s="125" t="s">
        <v>73</v>
      </c>
      <c r="AV64" s="125" t="s">
        <v>73</v>
      </c>
      <c r="AW64">
        <v>0</v>
      </c>
      <c r="AX64" s="125" t="s">
        <v>73</v>
      </c>
      <c r="AY64" s="125" t="s">
        <v>158</v>
      </c>
      <c r="AZ64" s="125" t="s">
        <v>158</v>
      </c>
      <c r="BA64" s="125" t="s">
        <v>158</v>
      </c>
      <c r="BB64"/>
      <c r="BC64"/>
    </row>
    <row r="65" spans="1:55" ht="16" x14ac:dyDescent="0.2">
      <c r="A65" s="125" t="s">
        <v>223</v>
      </c>
      <c r="B65" s="125" t="s">
        <v>203</v>
      </c>
      <c r="C65" s="125" t="s">
        <v>204</v>
      </c>
      <c r="D65" s="125" t="s">
        <v>73</v>
      </c>
      <c r="E65" s="125" t="s">
        <v>72</v>
      </c>
      <c r="F65" s="125" t="s">
        <v>72</v>
      </c>
      <c r="G65" s="125" t="s">
        <v>73</v>
      </c>
      <c r="H65" s="125"/>
      <c r="Q65">
        <v>0</v>
      </c>
      <c r="R65">
        <v>0</v>
      </c>
      <c r="S65">
        <v>0</v>
      </c>
      <c r="T65">
        <v>0</v>
      </c>
      <c r="U65" s="125" t="s">
        <v>73</v>
      </c>
      <c r="V65">
        <v>0</v>
      </c>
      <c r="W65">
        <v>0</v>
      </c>
      <c r="X65">
        <v>0</v>
      </c>
      <c r="Y65">
        <v>0</v>
      </c>
      <c r="Z65">
        <v>0</v>
      </c>
      <c r="AA65">
        <v>0</v>
      </c>
      <c r="AB65">
        <v>0</v>
      </c>
      <c r="AC65" s="125" t="s">
        <v>73</v>
      </c>
      <c r="AD65">
        <v>0</v>
      </c>
      <c r="AE65">
        <v>0</v>
      </c>
      <c r="AF65">
        <v>0</v>
      </c>
      <c r="AG65">
        <v>0</v>
      </c>
      <c r="AH65">
        <v>0</v>
      </c>
      <c r="AI65">
        <v>15</v>
      </c>
      <c r="AJ65">
        <v>2</v>
      </c>
      <c r="AK65" s="125" t="s">
        <v>73</v>
      </c>
      <c r="AL65" s="125" t="s">
        <v>73</v>
      </c>
      <c r="AM65" s="126" t="s">
        <v>73</v>
      </c>
      <c r="AN65" s="125" t="s">
        <v>205</v>
      </c>
      <c r="AO65" s="56">
        <v>46001.816770833335</v>
      </c>
      <c r="AP65" s="56">
        <v>46002.760763888888</v>
      </c>
      <c r="AQ65" s="125" t="s">
        <v>73</v>
      </c>
      <c r="AR65" s="125" t="s">
        <v>73</v>
      </c>
      <c r="AS65" s="125" t="s">
        <v>73</v>
      </c>
      <c r="AT65" s="125" t="s">
        <v>73</v>
      </c>
      <c r="AU65" s="125" t="s">
        <v>73</v>
      </c>
      <c r="AV65" s="125" t="s">
        <v>73</v>
      </c>
      <c r="AW65">
        <v>0</v>
      </c>
      <c r="AX65" s="125" t="s">
        <v>73</v>
      </c>
      <c r="AY65" s="125" t="s">
        <v>158</v>
      </c>
      <c r="AZ65" s="125" t="s">
        <v>158</v>
      </c>
      <c r="BA65" s="125" t="s">
        <v>158</v>
      </c>
      <c r="BB65"/>
      <c r="BC65"/>
    </row>
    <row r="66" spans="1:55" ht="16" x14ac:dyDescent="0.2">
      <c r="A66" s="125" t="s">
        <v>223</v>
      </c>
      <c r="B66" s="125" t="s">
        <v>199</v>
      </c>
      <c r="C66" s="125" t="s">
        <v>200</v>
      </c>
      <c r="D66" s="125" t="s">
        <v>73</v>
      </c>
      <c r="E66" s="125" t="s">
        <v>72</v>
      </c>
      <c r="F66" s="125" t="s">
        <v>73</v>
      </c>
      <c r="G66" s="125" t="s">
        <v>73</v>
      </c>
      <c r="H66" s="125"/>
      <c r="Q66">
        <v>0</v>
      </c>
      <c r="R66">
        <v>0</v>
      </c>
      <c r="S66">
        <v>0</v>
      </c>
      <c r="T66">
        <v>0</v>
      </c>
      <c r="U66" s="125" t="s">
        <v>73</v>
      </c>
      <c r="V66">
        <v>0</v>
      </c>
      <c r="W66">
        <v>0</v>
      </c>
      <c r="X66">
        <v>0</v>
      </c>
      <c r="Y66">
        <v>0</v>
      </c>
      <c r="Z66">
        <v>0</v>
      </c>
      <c r="AA66">
        <v>0</v>
      </c>
      <c r="AB66">
        <v>0</v>
      </c>
      <c r="AC66" s="125" t="s">
        <v>73</v>
      </c>
      <c r="AD66">
        <v>0</v>
      </c>
      <c r="AE66">
        <v>0</v>
      </c>
      <c r="AF66">
        <v>0</v>
      </c>
      <c r="AG66">
        <v>0</v>
      </c>
      <c r="AH66">
        <v>0</v>
      </c>
      <c r="AI66">
        <v>2</v>
      </c>
      <c r="AJ66">
        <v>0</v>
      </c>
      <c r="AK66" s="125" t="s">
        <v>73</v>
      </c>
      <c r="AL66" s="125" t="s">
        <v>73</v>
      </c>
      <c r="AM66" s="126" t="s">
        <v>73</v>
      </c>
      <c r="AN66" s="125" t="s">
        <v>202</v>
      </c>
      <c r="AO66" s="56">
        <v>46000.935324074075</v>
      </c>
      <c r="AP66" s="56">
        <v>46002.760567129626</v>
      </c>
      <c r="AQ66" s="125" t="s">
        <v>73</v>
      </c>
      <c r="AR66" s="125" t="s">
        <v>73</v>
      </c>
      <c r="AS66" s="125" t="s">
        <v>73</v>
      </c>
      <c r="AT66" s="125" t="s">
        <v>73</v>
      </c>
      <c r="AU66" s="125" t="s">
        <v>73</v>
      </c>
      <c r="AV66" s="125" t="s">
        <v>73</v>
      </c>
      <c r="AW66">
        <v>0</v>
      </c>
      <c r="AX66" s="125" t="s">
        <v>73</v>
      </c>
      <c r="AY66" s="125" t="s">
        <v>158</v>
      </c>
      <c r="AZ66" s="125" t="s">
        <v>158</v>
      </c>
      <c r="BA66" s="125" t="s">
        <v>158</v>
      </c>
      <c r="BB66"/>
      <c r="BC66"/>
    </row>
    <row r="67" spans="1:55" ht="16" x14ac:dyDescent="0.2">
      <c r="A67" s="125" t="s">
        <v>223</v>
      </c>
      <c r="B67" s="125" t="s">
        <v>192</v>
      </c>
      <c r="C67" s="125" t="s">
        <v>193</v>
      </c>
      <c r="D67" s="125" t="s">
        <v>73</v>
      </c>
      <c r="E67" s="125" t="s">
        <v>72</v>
      </c>
      <c r="F67" s="125" t="s">
        <v>72</v>
      </c>
      <c r="G67" s="125" t="s">
        <v>73</v>
      </c>
      <c r="H67" s="125"/>
      <c r="Q67">
        <v>0</v>
      </c>
      <c r="R67">
        <v>0</v>
      </c>
      <c r="S67">
        <v>0</v>
      </c>
      <c r="T67">
        <v>0</v>
      </c>
      <c r="U67" s="125" t="s">
        <v>73</v>
      </c>
      <c r="V67">
        <v>0</v>
      </c>
      <c r="W67">
        <v>0</v>
      </c>
      <c r="X67">
        <v>0</v>
      </c>
      <c r="Y67">
        <v>0</v>
      </c>
      <c r="Z67">
        <v>0</v>
      </c>
      <c r="AA67">
        <v>0</v>
      </c>
      <c r="AB67">
        <v>0</v>
      </c>
      <c r="AC67" s="125" t="s">
        <v>73</v>
      </c>
      <c r="AD67">
        <v>0</v>
      </c>
      <c r="AE67">
        <v>0</v>
      </c>
      <c r="AF67">
        <v>0</v>
      </c>
      <c r="AG67">
        <v>0</v>
      </c>
      <c r="AH67">
        <v>0</v>
      </c>
      <c r="AI67">
        <v>20</v>
      </c>
      <c r="AJ67">
        <v>1</v>
      </c>
      <c r="AK67" s="125" t="s">
        <v>73</v>
      </c>
      <c r="AL67" s="125" t="s">
        <v>73</v>
      </c>
      <c r="AM67" s="126" t="s">
        <v>73</v>
      </c>
      <c r="AN67" s="125" t="s">
        <v>194</v>
      </c>
      <c r="AO67" s="56">
        <v>45999.857777777775</v>
      </c>
      <c r="AP67" s="56">
        <v>46002.760289351849</v>
      </c>
      <c r="AQ67" s="125" t="s">
        <v>73</v>
      </c>
      <c r="AR67" s="125" t="s">
        <v>73</v>
      </c>
      <c r="AS67" s="125" t="s">
        <v>73</v>
      </c>
      <c r="AT67" s="125" t="s">
        <v>73</v>
      </c>
      <c r="AU67" s="125" t="s">
        <v>73</v>
      </c>
      <c r="AV67" s="125" t="s">
        <v>73</v>
      </c>
      <c r="AW67">
        <v>0</v>
      </c>
      <c r="AX67" s="125" t="s">
        <v>73</v>
      </c>
      <c r="AY67" s="125" t="s">
        <v>158</v>
      </c>
      <c r="AZ67" s="125" t="s">
        <v>158</v>
      </c>
      <c r="BA67" s="125" t="s">
        <v>158</v>
      </c>
      <c r="BB67"/>
      <c r="BC67"/>
    </row>
    <row r="68" spans="1:55" ht="48" x14ac:dyDescent="0.2">
      <c r="A68" s="125" t="s">
        <v>185</v>
      </c>
      <c r="B68" s="125" t="s">
        <v>443</v>
      </c>
      <c r="C68" s="125" t="s">
        <v>444</v>
      </c>
      <c r="D68" s="125" t="s">
        <v>73</v>
      </c>
      <c r="E68" s="125" t="s">
        <v>72</v>
      </c>
      <c r="F68" s="125" t="s">
        <v>72</v>
      </c>
      <c r="G68" s="125" t="s">
        <v>73</v>
      </c>
      <c r="H68" s="125"/>
      <c r="I68">
        <v>10</v>
      </c>
      <c r="J68">
        <v>6</v>
      </c>
      <c r="N68">
        <v>3</v>
      </c>
      <c r="Q68">
        <v>0</v>
      </c>
      <c r="R68">
        <v>0</v>
      </c>
      <c r="S68">
        <v>0</v>
      </c>
      <c r="T68">
        <v>0</v>
      </c>
      <c r="U68" s="125" t="s">
        <v>73</v>
      </c>
      <c r="V68">
        <v>0</v>
      </c>
      <c r="W68">
        <v>0</v>
      </c>
      <c r="X68">
        <v>5</v>
      </c>
      <c r="Y68">
        <v>3</v>
      </c>
      <c r="Z68">
        <v>1</v>
      </c>
      <c r="AA68">
        <v>0</v>
      </c>
      <c r="AB68">
        <v>1</v>
      </c>
      <c r="AC68" s="125" t="s">
        <v>73</v>
      </c>
      <c r="AD68">
        <v>4</v>
      </c>
      <c r="AE68">
        <v>0</v>
      </c>
      <c r="AF68">
        <v>0</v>
      </c>
      <c r="AG68">
        <v>0</v>
      </c>
      <c r="AH68">
        <v>0</v>
      </c>
      <c r="AI68">
        <v>60</v>
      </c>
      <c r="AJ68">
        <v>20</v>
      </c>
      <c r="AK68" s="125" t="s">
        <v>72</v>
      </c>
      <c r="AL68" s="125" t="s">
        <v>73</v>
      </c>
      <c r="AM68" s="126" t="s">
        <v>458</v>
      </c>
      <c r="AN68" s="125" t="s">
        <v>459</v>
      </c>
      <c r="AO68" s="56">
        <v>46021.889675925922</v>
      </c>
      <c r="AP68" s="56">
        <v>46021.850231481483</v>
      </c>
      <c r="AQ68" s="125" t="s">
        <v>73</v>
      </c>
      <c r="AR68" s="125" t="s">
        <v>73</v>
      </c>
      <c r="AS68" s="125" t="s">
        <v>73</v>
      </c>
      <c r="AT68" s="125" t="s">
        <v>73</v>
      </c>
      <c r="AU68" s="125" t="s">
        <v>73</v>
      </c>
      <c r="AV68" s="125" t="s">
        <v>73</v>
      </c>
      <c r="AW68">
        <v>0</v>
      </c>
      <c r="AX68" s="125" t="s">
        <v>73</v>
      </c>
      <c r="AY68" s="125" t="s">
        <v>158</v>
      </c>
      <c r="AZ68" s="125" t="s">
        <v>158</v>
      </c>
      <c r="BA68" s="125" t="s">
        <v>158</v>
      </c>
      <c r="BB68"/>
      <c r="BC68"/>
    </row>
    <row r="69" spans="1:55" ht="144" x14ac:dyDescent="0.2">
      <c r="A69" s="125" t="s">
        <v>185</v>
      </c>
      <c r="B69" s="125" t="s">
        <v>435</v>
      </c>
      <c r="C69" s="125" t="s">
        <v>436</v>
      </c>
      <c r="D69" s="125" t="s">
        <v>73</v>
      </c>
      <c r="E69" s="125" t="s">
        <v>73</v>
      </c>
      <c r="F69" s="125" t="s">
        <v>72</v>
      </c>
      <c r="G69" s="125" t="s">
        <v>73</v>
      </c>
      <c r="H69" s="125"/>
      <c r="Q69">
        <v>0</v>
      </c>
      <c r="R69">
        <v>0</v>
      </c>
      <c r="S69">
        <v>0</v>
      </c>
      <c r="T69">
        <v>0</v>
      </c>
      <c r="U69" s="125" t="s">
        <v>73</v>
      </c>
      <c r="V69">
        <v>0</v>
      </c>
      <c r="W69">
        <v>0</v>
      </c>
      <c r="X69">
        <v>0</v>
      </c>
      <c r="Y69">
        <v>0</v>
      </c>
      <c r="Z69">
        <v>0</v>
      </c>
      <c r="AA69">
        <v>0</v>
      </c>
      <c r="AB69">
        <v>0</v>
      </c>
      <c r="AC69" s="125" t="s">
        <v>73</v>
      </c>
      <c r="AD69">
        <v>0</v>
      </c>
      <c r="AE69">
        <v>0</v>
      </c>
      <c r="AF69">
        <v>0</v>
      </c>
      <c r="AG69">
        <v>0</v>
      </c>
      <c r="AH69">
        <v>0</v>
      </c>
      <c r="AI69">
        <v>3</v>
      </c>
      <c r="AJ69">
        <v>1</v>
      </c>
      <c r="AK69" s="125" t="s">
        <v>73</v>
      </c>
      <c r="AL69" s="125" t="s">
        <v>73</v>
      </c>
      <c r="AM69" s="126" t="s">
        <v>441</v>
      </c>
      <c r="AN69" s="125" t="s">
        <v>442</v>
      </c>
      <c r="AO69" s="56">
        <v>46021.509363425925</v>
      </c>
      <c r="AP69" s="56">
        <v>46021.46769675926</v>
      </c>
      <c r="AQ69" s="125" t="s">
        <v>73</v>
      </c>
      <c r="AR69" s="125" t="s">
        <v>73</v>
      </c>
      <c r="AS69" s="125" t="s">
        <v>73</v>
      </c>
      <c r="AT69" s="125" t="s">
        <v>73</v>
      </c>
      <c r="AU69" s="125" t="s">
        <v>73</v>
      </c>
      <c r="AV69" s="125" t="s">
        <v>73</v>
      </c>
      <c r="AW69">
        <v>0</v>
      </c>
      <c r="AX69" s="125" t="s">
        <v>73</v>
      </c>
      <c r="AY69" s="125" t="s">
        <v>158</v>
      </c>
      <c r="AZ69" s="125" t="s">
        <v>158</v>
      </c>
      <c r="BA69" s="125" t="s">
        <v>158</v>
      </c>
      <c r="BB69"/>
      <c r="BC69"/>
    </row>
    <row r="70" spans="1:55" ht="16" x14ac:dyDescent="0.2">
      <c r="A70" s="125" t="s">
        <v>185</v>
      </c>
      <c r="B70" s="125" t="s">
        <v>429</v>
      </c>
      <c r="C70" s="125" t="s">
        <v>430</v>
      </c>
      <c r="D70" s="125" t="s">
        <v>73</v>
      </c>
      <c r="E70" s="125" t="s">
        <v>72</v>
      </c>
      <c r="F70" s="125" t="s">
        <v>72</v>
      </c>
      <c r="G70" s="125" t="s">
        <v>73</v>
      </c>
      <c r="H70" s="125"/>
      <c r="I70">
        <v>12</v>
      </c>
      <c r="J70">
        <v>4</v>
      </c>
      <c r="Q70">
        <v>0</v>
      </c>
      <c r="R70">
        <v>0</v>
      </c>
      <c r="S70">
        <v>0</v>
      </c>
      <c r="T70">
        <v>0</v>
      </c>
      <c r="U70" s="125" t="s">
        <v>73</v>
      </c>
      <c r="V70">
        <v>0</v>
      </c>
      <c r="W70">
        <v>0</v>
      </c>
      <c r="X70">
        <v>4</v>
      </c>
      <c r="Y70">
        <v>4</v>
      </c>
      <c r="Z70">
        <v>0</v>
      </c>
      <c r="AA70">
        <v>0</v>
      </c>
      <c r="AB70">
        <v>0</v>
      </c>
      <c r="AC70" s="125" t="s">
        <v>73</v>
      </c>
      <c r="AD70">
        <v>6</v>
      </c>
      <c r="AE70">
        <v>6</v>
      </c>
      <c r="AF70">
        <v>0</v>
      </c>
      <c r="AG70">
        <v>6</v>
      </c>
      <c r="AH70">
        <v>2</v>
      </c>
      <c r="AI70">
        <v>65</v>
      </c>
      <c r="AJ70">
        <v>14</v>
      </c>
      <c r="AK70" s="125" t="s">
        <v>72</v>
      </c>
      <c r="AL70" s="125" t="s">
        <v>73</v>
      </c>
      <c r="AM70" s="126" t="s">
        <v>73</v>
      </c>
      <c r="AN70" s="125" t="s">
        <v>432</v>
      </c>
      <c r="AO70" s="56">
        <v>46019.969571759262</v>
      </c>
      <c r="AP70" s="56">
        <v>46019.927905092591</v>
      </c>
      <c r="AQ70" s="125" t="s">
        <v>73</v>
      </c>
      <c r="AR70" s="125" t="s">
        <v>73</v>
      </c>
      <c r="AS70" s="125" t="s">
        <v>73</v>
      </c>
      <c r="AT70" s="125" t="s">
        <v>73</v>
      </c>
      <c r="AU70" s="125" t="s">
        <v>73</v>
      </c>
      <c r="AV70" s="125" t="s">
        <v>73</v>
      </c>
      <c r="AW70">
        <v>0</v>
      </c>
      <c r="AX70" s="125" t="s">
        <v>73</v>
      </c>
      <c r="AY70" s="125" t="s">
        <v>158</v>
      </c>
      <c r="AZ70" s="125" t="s">
        <v>158</v>
      </c>
      <c r="BA70" s="125" t="s">
        <v>158</v>
      </c>
      <c r="BB70"/>
      <c r="BC70"/>
    </row>
    <row r="71" spans="1:55" ht="32" x14ac:dyDescent="0.2">
      <c r="A71" s="125" t="s">
        <v>185</v>
      </c>
      <c r="B71" s="125" t="s">
        <v>418</v>
      </c>
      <c r="C71" s="125" t="s">
        <v>419</v>
      </c>
      <c r="D71" s="125" t="s">
        <v>73</v>
      </c>
      <c r="E71" s="125" t="s">
        <v>72</v>
      </c>
      <c r="F71" s="125" t="s">
        <v>73</v>
      </c>
      <c r="G71" s="125" t="s">
        <v>73</v>
      </c>
      <c r="H71" s="125"/>
      <c r="I71">
        <v>8</v>
      </c>
      <c r="J71">
        <v>6</v>
      </c>
      <c r="L71">
        <v>8</v>
      </c>
      <c r="Q71">
        <v>0</v>
      </c>
      <c r="R71">
        <v>0</v>
      </c>
      <c r="S71">
        <v>0</v>
      </c>
      <c r="T71">
        <v>0</v>
      </c>
      <c r="U71" s="125" t="s">
        <v>73</v>
      </c>
      <c r="V71">
        <v>0</v>
      </c>
      <c r="W71">
        <v>0</v>
      </c>
      <c r="X71">
        <v>2</v>
      </c>
      <c r="Y71">
        <v>2</v>
      </c>
      <c r="Z71">
        <v>0</v>
      </c>
      <c r="AA71">
        <v>0</v>
      </c>
      <c r="AB71">
        <v>0</v>
      </c>
      <c r="AC71" s="125" t="s">
        <v>73</v>
      </c>
      <c r="AD71">
        <v>6</v>
      </c>
      <c r="AE71">
        <v>6</v>
      </c>
      <c r="AF71">
        <v>0</v>
      </c>
      <c r="AG71">
        <v>6</v>
      </c>
      <c r="AH71">
        <v>2</v>
      </c>
      <c r="AI71">
        <v>120</v>
      </c>
      <c r="AJ71">
        <v>14</v>
      </c>
      <c r="AK71" s="125" t="s">
        <v>72</v>
      </c>
      <c r="AL71" s="125" t="s">
        <v>72</v>
      </c>
      <c r="AM71" s="126" t="s">
        <v>420</v>
      </c>
      <c r="AN71" s="125" t="s">
        <v>422</v>
      </c>
      <c r="AO71" s="56">
        <v>46019.660578703704</v>
      </c>
      <c r="AP71" s="56">
        <v>46022.350983796299</v>
      </c>
      <c r="AQ71" s="125" t="s">
        <v>73</v>
      </c>
      <c r="AR71" s="125" t="s">
        <v>73</v>
      </c>
      <c r="AS71" s="125" t="s">
        <v>73</v>
      </c>
      <c r="AT71" s="125" t="s">
        <v>73</v>
      </c>
      <c r="AU71" s="125" t="s">
        <v>73</v>
      </c>
      <c r="AV71" s="125" t="s">
        <v>73</v>
      </c>
      <c r="AW71">
        <v>0</v>
      </c>
      <c r="AX71" s="125" t="s">
        <v>73</v>
      </c>
      <c r="AY71" s="125" t="s">
        <v>158</v>
      </c>
      <c r="AZ71" s="125" t="s">
        <v>158</v>
      </c>
      <c r="BA71" s="125" t="s">
        <v>158</v>
      </c>
      <c r="BB71"/>
      <c r="BC71"/>
    </row>
    <row r="72" spans="1:55" ht="16" x14ac:dyDescent="0.2">
      <c r="A72" s="125" t="s">
        <v>185</v>
      </c>
      <c r="B72" s="125" t="s">
        <v>403</v>
      </c>
      <c r="C72" s="125" t="s">
        <v>404</v>
      </c>
      <c r="D72" s="125" t="s">
        <v>73</v>
      </c>
      <c r="E72" s="125" t="s">
        <v>72</v>
      </c>
      <c r="F72" s="125" t="s">
        <v>72</v>
      </c>
      <c r="G72" s="125" t="s">
        <v>73</v>
      </c>
      <c r="H72" s="125"/>
      <c r="I72">
        <v>8</v>
      </c>
      <c r="N72">
        <v>4</v>
      </c>
      <c r="Q72">
        <v>2</v>
      </c>
      <c r="R72">
        <v>2</v>
      </c>
      <c r="S72">
        <v>0</v>
      </c>
      <c r="T72">
        <v>0</v>
      </c>
      <c r="U72" s="125" t="s">
        <v>72</v>
      </c>
      <c r="V72">
        <v>0</v>
      </c>
      <c r="W72">
        <v>0</v>
      </c>
      <c r="X72">
        <v>3</v>
      </c>
      <c r="Y72">
        <v>3</v>
      </c>
      <c r="Z72">
        <v>0</v>
      </c>
      <c r="AA72">
        <v>0</v>
      </c>
      <c r="AB72">
        <v>0</v>
      </c>
      <c r="AC72" s="125" t="s">
        <v>73</v>
      </c>
      <c r="AD72">
        <v>6</v>
      </c>
      <c r="AE72">
        <v>6</v>
      </c>
      <c r="AF72">
        <v>0</v>
      </c>
      <c r="AG72">
        <v>6</v>
      </c>
      <c r="AH72">
        <v>1</v>
      </c>
      <c r="AI72">
        <v>65</v>
      </c>
      <c r="AJ72">
        <v>5</v>
      </c>
      <c r="AK72" s="125" t="s">
        <v>73</v>
      </c>
      <c r="AL72" s="125" t="s">
        <v>73</v>
      </c>
      <c r="AM72" s="126" t="s">
        <v>73</v>
      </c>
      <c r="AN72" s="125" t="s">
        <v>407</v>
      </c>
      <c r="AO72" s="56">
        <v>46018.570393518516</v>
      </c>
      <c r="AP72" s="56">
        <v>46018.528726851851</v>
      </c>
      <c r="AQ72" s="125" t="s">
        <v>404</v>
      </c>
      <c r="AR72" s="125" t="s">
        <v>78</v>
      </c>
      <c r="AS72" s="125" t="s">
        <v>179</v>
      </c>
      <c r="AT72" s="125" t="s">
        <v>219</v>
      </c>
      <c r="AU72" s="125" t="s">
        <v>406</v>
      </c>
      <c r="AV72" s="125" t="s">
        <v>406</v>
      </c>
      <c r="AW72">
        <v>35</v>
      </c>
      <c r="AX72" s="125" t="s">
        <v>73</v>
      </c>
      <c r="AY72" s="125" t="s">
        <v>158</v>
      </c>
      <c r="AZ72" s="125" t="s">
        <v>158</v>
      </c>
      <c r="BA72" s="125" t="s">
        <v>158</v>
      </c>
      <c r="BB72"/>
      <c r="BC72"/>
    </row>
    <row r="73" spans="1:55" ht="16" x14ac:dyDescent="0.2">
      <c r="A73" s="125" t="s">
        <v>185</v>
      </c>
      <c r="B73" s="125" t="s">
        <v>393</v>
      </c>
      <c r="C73" s="125" t="s">
        <v>394</v>
      </c>
      <c r="D73" s="125" t="s">
        <v>72</v>
      </c>
      <c r="E73" s="125" t="s">
        <v>72</v>
      </c>
      <c r="F73" s="125" t="s">
        <v>72</v>
      </c>
      <c r="G73" s="125" t="s">
        <v>72</v>
      </c>
      <c r="H73" s="125" t="s">
        <v>72</v>
      </c>
      <c r="I73">
        <v>13</v>
      </c>
      <c r="J73">
        <v>8</v>
      </c>
      <c r="L73">
        <v>6</v>
      </c>
      <c r="N73">
        <v>9</v>
      </c>
      <c r="Q73">
        <v>0</v>
      </c>
      <c r="R73">
        <v>0</v>
      </c>
      <c r="S73">
        <v>0</v>
      </c>
      <c r="T73">
        <v>0</v>
      </c>
      <c r="U73" s="125" t="s">
        <v>73</v>
      </c>
      <c r="V73">
        <v>5</v>
      </c>
      <c r="W73">
        <v>21</v>
      </c>
      <c r="X73">
        <v>14</v>
      </c>
      <c r="Y73">
        <v>7</v>
      </c>
      <c r="Z73">
        <v>6</v>
      </c>
      <c r="AA73">
        <v>0</v>
      </c>
      <c r="AB73">
        <v>1</v>
      </c>
      <c r="AC73" s="125" t="s">
        <v>73</v>
      </c>
      <c r="AD73">
        <v>5</v>
      </c>
      <c r="AE73">
        <v>5</v>
      </c>
      <c r="AF73">
        <v>5</v>
      </c>
      <c r="AG73">
        <v>5</v>
      </c>
      <c r="AH73">
        <v>0</v>
      </c>
      <c r="AI73">
        <v>120</v>
      </c>
      <c r="AJ73">
        <v>34</v>
      </c>
      <c r="AK73" s="125" t="s">
        <v>73</v>
      </c>
      <c r="AL73" s="125" t="s">
        <v>73</v>
      </c>
      <c r="AM73" s="126" t="s">
        <v>73</v>
      </c>
      <c r="AN73" s="125" t="s">
        <v>401</v>
      </c>
      <c r="AO73" s="56">
        <v>46017.704988425925</v>
      </c>
      <c r="AP73" s="56">
        <v>46019.887025462966</v>
      </c>
      <c r="AQ73" s="125" t="s">
        <v>73</v>
      </c>
      <c r="AR73" s="125" t="s">
        <v>73</v>
      </c>
      <c r="AS73" s="125" t="s">
        <v>73</v>
      </c>
      <c r="AT73" s="125" t="s">
        <v>73</v>
      </c>
      <c r="AU73" s="125" t="s">
        <v>73</v>
      </c>
      <c r="AV73" s="125" t="s">
        <v>73</v>
      </c>
      <c r="AW73">
        <v>0</v>
      </c>
      <c r="AX73" s="125" t="s">
        <v>75</v>
      </c>
      <c r="AY73" s="125" t="s">
        <v>396</v>
      </c>
      <c r="AZ73" s="125" t="s">
        <v>214</v>
      </c>
      <c r="BA73" s="125" t="s">
        <v>397</v>
      </c>
      <c r="BB73"/>
      <c r="BC73"/>
    </row>
    <row r="74" spans="1:55" ht="16" x14ac:dyDescent="0.2">
      <c r="A74" s="125" t="s">
        <v>185</v>
      </c>
      <c r="B74" s="125" t="s">
        <v>388</v>
      </c>
      <c r="C74" s="125" t="s">
        <v>389</v>
      </c>
      <c r="D74" s="125" t="s">
        <v>73</v>
      </c>
      <c r="E74" s="125" t="s">
        <v>72</v>
      </c>
      <c r="F74" s="125" t="s">
        <v>72</v>
      </c>
      <c r="G74" s="125" t="s">
        <v>73</v>
      </c>
      <c r="H74" s="125"/>
      <c r="I74">
        <v>12</v>
      </c>
      <c r="N74">
        <v>4</v>
      </c>
      <c r="Q74">
        <v>2</v>
      </c>
      <c r="R74">
        <v>2</v>
      </c>
      <c r="S74">
        <v>0</v>
      </c>
      <c r="T74">
        <v>0</v>
      </c>
      <c r="U74" s="125" t="s">
        <v>73</v>
      </c>
      <c r="V74">
        <v>0</v>
      </c>
      <c r="W74">
        <v>0</v>
      </c>
      <c r="X74">
        <v>3</v>
      </c>
      <c r="Y74">
        <v>3</v>
      </c>
      <c r="Z74">
        <v>0</v>
      </c>
      <c r="AA74">
        <v>0</v>
      </c>
      <c r="AB74">
        <v>0</v>
      </c>
      <c r="AC74" s="125" t="s">
        <v>73</v>
      </c>
      <c r="AD74">
        <v>6</v>
      </c>
      <c r="AE74">
        <v>4</v>
      </c>
      <c r="AF74">
        <v>0</v>
      </c>
      <c r="AG74">
        <v>0</v>
      </c>
      <c r="AH74">
        <v>2</v>
      </c>
      <c r="AI74">
        <v>50</v>
      </c>
      <c r="AJ74">
        <v>8</v>
      </c>
      <c r="AK74" s="125" t="s">
        <v>72</v>
      </c>
      <c r="AL74" s="125" t="s">
        <v>73</v>
      </c>
      <c r="AM74" s="126" t="s">
        <v>73</v>
      </c>
      <c r="AN74" s="125" t="s">
        <v>402</v>
      </c>
      <c r="AO74" s="56">
        <v>46017.580243055556</v>
      </c>
      <c r="AP74" s="56">
        <v>46017.538576388892</v>
      </c>
      <c r="AQ74" s="125" t="s">
        <v>73</v>
      </c>
      <c r="AR74" s="125" t="s">
        <v>73</v>
      </c>
      <c r="AS74" s="125" t="s">
        <v>73</v>
      </c>
      <c r="AT74" s="125" t="s">
        <v>73</v>
      </c>
      <c r="AU74" s="125" t="s">
        <v>73</v>
      </c>
      <c r="AV74" s="125" t="s">
        <v>73</v>
      </c>
      <c r="AW74">
        <v>0</v>
      </c>
      <c r="AX74" s="125" t="s">
        <v>73</v>
      </c>
      <c r="AY74" s="125" t="s">
        <v>158</v>
      </c>
      <c r="AZ74" s="125" t="s">
        <v>158</v>
      </c>
      <c r="BA74" s="125" t="s">
        <v>158</v>
      </c>
      <c r="BB74"/>
      <c r="BC74"/>
    </row>
    <row r="75" spans="1:55" ht="32" x14ac:dyDescent="0.2">
      <c r="A75" s="125" t="s">
        <v>185</v>
      </c>
      <c r="B75" s="125" t="s">
        <v>388</v>
      </c>
      <c r="C75" s="125" t="s">
        <v>389</v>
      </c>
      <c r="D75" s="125" t="s">
        <v>73</v>
      </c>
      <c r="E75" s="125" t="s">
        <v>72</v>
      </c>
      <c r="F75" s="125" t="s">
        <v>73</v>
      </c>
      <c r="G75" s="125" t="s">
        <v>73</v>
      </c>
      <c r="H75" s="125"/>
      <c r="Q75">
        <v>0</v>
      </c>
      <c r="R75">
        <v>0</v>
      </c>
      <c r="S75">
        <v>0</v>
      </c>
      <c r="T75">
        <v>0</v>
      </c>
      <c r="U75" s="125" t="s">
        <v>73</v>
      </c>
      <c r="V75">
        <v>0</v>
      </c>
      <c r="W75">
        <v>0</v>
      </c>
      <c r="X75">
        <v>0</v>
      </c>
      <c r="Y75">
        <v>0</v>
      </c>
      <c r="Z75">
        <v>0</v>
      </c>
      <c r="AA75">
        <v>0</v>
      </c>
      <c r="AB75">
        <v>0</v>
      </c>
      <c r="AC75" s="125" t="s">
        <v>73</v>
      </c>
      <c r="AD75">
        <v>0</v>
      </c>
      <c r="AE75">
        <v>0</v>
      </c>
      <c r="AF75">
        <v>0</v>
      </c>
      <c r="AG75">
        <v>0</v>
      </c>
      <c r="AH75">
        <v>0</v>
      </c>
      <c r="AI75">
        <v>50</v>
      </c>
      <c r="AJ75">
        <v>7</v>
      </c>
      <c r="AK75" s="125" t="s">
        <v>72</v>
      </c>
      <c r="AL75" s="125" t="s">
        <v>73</v>
      </c>
      <c r="AM75" s="126" t="s">
        <v>391</v>
      </c>
      <c r="AN75" s="125" t="s">
        <v>392</v>
      </c>
      <c r="AO75" s="56">
        <v>46017.43074074074</v>
      </c>
      <c r="AP75" s="56">
        <v>46017.389074074075</v>
      </c>
      <c r="AQ75" s="125" t="s">
        <v>73</v>
      </c>
      <c r="AR75" s="125" t="s">
        <v>73</v>
      </c>
      <c r="AS75" s="125" t="s">
        <v>73</v>
      </c>
      <c r="AT75" s="125" t="s">
        <v>73</v>
      </c>
      <c r="AU75" s="125" t="s">
        <v>73</v>
      </c>
      <c r="AV75" s="125" t="s">
        <v>73</v>
      </c>
      <c r="AW75">
        <v>0</v>
      </c>
      <c r="AX75" s="125" t="s">
        <v>73</v>
      </c>
      <c r="AY75" s="125" t="s">
        <v>158</v>
      </c>
      <c r="AZ75" s="125" t="s">
        <v>158</v>
      </c>
      <c r="BA75" s="125" t="s">
        <v>158</v>
      </c>
      <c r="BB75"/>
      <c r="BC75"/>
    </row>
    <row r="76" spans="1:55" ht="16" x14ac:dyDescent="0.2">
      <c r="A76" s="125" t="s">
        <v>185</v>
      </c>
      <c r="B76" s="125" t="s">
        <v>206</v>
      </c>
      <c r="C76" s="125" t="s">
        <v>207</v>
      </c>
      <c r="D76" s="125" t="s">
        <v>73</v>
      </c>
      <c r="E76" s="125" t="s">
        <v>72</v>
      </c>
      <c r="F76" s="125" t="s">
        <v>72</v>
      </c>
      <c r="G76" s="125" t="s">
        <v>262</v>
      </c>
      <c r="H76" s="125"/>
      <c r="I76">
        <v>7</v>
      </c>
      <c r="J76">
        <v>3</v>
      </c>
      <c r="Q76">
        <v>1</v>
      </c>
      <c r="R76">
        <v>1</v>
      </c>
      <c r="S76">
        <v>0</v>
      </c>
      <c r="T76">
        <v>0</v>
      </c>
      <c r="U76" s="125" t="s">
        <v>73</v>
      </c>
      <c r="V76">
        <v>7</v>
      </c>
      <c r="W76">
        <v>10</v>
      </c>
      <c r="X76">
        <v>0</v>
      </c>
      <c r="Y76">
        <v>0</v>
      </c>
      <c r="Z76">
        <v>0</v>
      </c>
      <c r="AA76">
        <v>0</v>
      </c>
      <c r="AB76">
        <v>0</v>
      </c>
      <c r="AC76" s="125" t="s">
        <v>73</v>
      </c>
      <c r="AD76">
        <v>6</v>
      </c>
      <c r="AE76">
        <v>6</v>
      </c>
      <c r="AF76">
        <v>0</v>
      </c>
      <c r="AG76">
        <v>6</v>
      </c>
      <c r="AH76">
        <v>3</v>
      </c>
      <c r="AI76">
        <v>45</v>
      </c>
      <c r="AJ76">
        <v>15</v>
      </c>
      <c r="AK76" s="125" t="s">
        <v>73</v>
      </c>
      <c r="AL76" s="125" t="s">
        <v>73</v>
      </c>
      <c r="AM76" s="126" t="s">
        <v>73</v>
      </c>
      <c r="AN76" s="125" t="s">
        <v>386</v>
      </c>
      <c r="AO76" s="56">
        <v>46014.910451388889</v>
      </c>
      <c r="AP76" s="56">
        <v>46014.868784722225</v>
      </c>
      <c r="AQ76" s="125" t="s">
        <v>73</v>
      </c>
      <c r="AR76" s="125" t="s">
        <v>73</v>
      </c>
      <c r="AS76" s="125" t="s">
        <v>73</v>
      </c>
      <c r="AT76" s="125" t="s">
        <v>73</v>
      </c>
      <c r="AU76" s="125" t="s">
        <v>73</v>
      </c>
      <c r="AV76" s="125" t="s">
        <v>73</v>
      </c>
      <c r="AW76">
        <v>0</v>
      </c>
      <c r="AX76" s="125" t="s">
        <v>75</v>
      </c>
      <c r="AY76" s="125" t="s">
        <v>375</v>
      </c>
      <c r="AZ76" s="125" t="s">
        <v>376</v>
      </c>
      <c r="BA76" s="125" t="s">
        <v>377</v>
      </c>
      <c r="BB76"/>
      <c r="BC76"/>
    </row>
    <row r="77" spans="1:55" ht="16" x14ac:dyDescent="0.2">
      <c r="A77" s="125" t="s">
        <v>185</v>
      </c>
      <c r="B77" s="125" t="s">
        <v>381</v>
      </c>
      <c r="C77" s="125" t="s">
        <v>382</v>
      </c>
      <c r="D77" s="125" t="s">
        <v>73</v>
      </c>
      <c r="E77" s="125" t="s">
        <v>72</v>
      </c>
      <c r="F77" s="125" t="s">
        <v>72</v>
      </c>
      <c r="G77" s="125" t="s">
        <v>73</v>
      </c>
      <c r="H77" s="125"/>
      <c r="I77">
        <v>5</v>
      </c>
      <c r="Q77">
        <v>0</v>
      </c>
      <c r="R77">
        <v>0</v>
      </c>
      <c r="S77">
        <v>0</v>
      </c>
      <c r="T77">
        <v>0</v>
      </c>
      <c r="U77" s="125" t="s">
        <v>72</v>
      </c>
      <c r="V77">
        <v>0</v>
      </c>
      <c r="W77">
        <v>0</v>
      </c>
      <c r="X77">
        <v>0</v>
      </c>
      <c r="Y77">
        <v>0</v>
      </c>
      <c r="Z77">
        <v>0</v>
      </c>
      <c r="AA77">
        <v>0</v>
      </c>
      <c r="AB77">
        <v>0</v>
      </c>
      <c r="AC77" s="125" t="s">
        <v>73</v>
      </c>
      <c r="AD77">
        <v>6</v>
      </c>
      <c r="AE77">
        <v>6</v>
      </c>
      <c r="AF77">
        <v>0</v>
      </c>
      <c r="AG77">
        <v>6</v>
      </c>
      <c r="AH77">
        <v>1</v>
      </c>
      <c r="AI77">
        <v>50</v>
      </c>
      <c r="AJ77">
        <v>3</v>
      </c>
      <c r="AK77" s="125" t="s">
        <v>73</v>
      </c>
      <c r="AL77" s="125" t="s">
        <v>73</v>
      </c>
      <c r="AM77" s="126" t="s">
        <v>73</v>
      </c>
      <c r="AN77" s="125" t="s">
        <v>387</v>
      </c>
      <c r="AO77" s="56">
        <v>46014.807118055556</v>
      </c>
      <c r="AP77" s="56">
        <v>46014.765451388892</v>
      </c>
      <c r="AQ77" s="125" t="s">
        <v>382</v>
      </c>
      <c r="AR77" s="125" t="s">
        <v>78</v>
      </c>
      <c r="AS77" s="125" t="s">
        <v>76</v>
      </c>
      <c r="AT77" s="125" t="s">
        <v>77</v>
      </c>
      <c r="AU77" s="125" t="s">
        <v>384</v>
      </c>
      <c r="AV77" s="125" t="s">
        <v>385</v>
      </c>
      <c r="AW77">
        <v>35</v>
      </c>
      <c r="AX77" s="125" t="s">
        <v>73</v>
      </c>
      <c r="AY77" s="125" t="s">
        <v>158</v>
      </c>
      <c r="AZ77" s="125" t="s">
        <v>158</v>
      </c>
      <c r="BA77" s="125" t="s">
        <v>158</v>
      </c>
      <c r="BB77"/>
      <c r="BC77"/>
    </row>
    <row r="78" spans="1:55" ht="16" x14ac:dyDescent="0.2">
      <c r="A78" s="125" t="s">
        <v>185</v>
      </c>
      <c r="B78" s="125" t="s">
        <v>364</v>
      </c>
      <c r="C78" s="125" t="s">
        <v>365</v>
      </c>
      <c r="D78" s="125" t="s">
        <v>73</v>
      </c>
      <c r="E78" s="125" t="s">
        <v>73</v>
      </c>
      <c r="F78" s="125" t="s">
        <v>72</v>
      </c>
      <c r="G78" s="125" t="s">
        <v>73</v>
      </c>
      <c r="H78" s="125"/>
      <c r="Q78">
        <v>0</v>
      </c>
      <c r="R78">
        <v>0</v>
      </c>
      <c r="S78">
        <v>0</v>
      </c>
      <c r="T78">
        <v>0</v>
      </c>
      <c r="U78" s="125" t="s">
        <v>73</v>
      </c>
      <c r="V78">
        <v>0</v>
      </c>
      <c r="W78">
        <v>0</v>
      </c>
      <c r="X78">
        <v>0</v>
      </c>
      <c r="Y78">
        <v>0</v>
      </c>
      <c r="Z78">
        <v>0</v>
      </c>
      <c r="AA78">
        <v>0</v>
      </c>
      <c r="AB78">
        <v>0</v>
      </c>
      <c r="AC78" s="125" t="s">
        <v>73</v>
      </c>
      <c r="AD78">
        <v>0</v>
      </c>
      <c r="AE78">
        <v>0</v>
      </c>
      <c r="AF78">
        <v>0</v>
      </c>
      <c r="AG78">
        <v>0</v>
      </c>
      <c r="AH78">
        <v>0</v>
      </c>
      <c r="AI78">
        <v>20</v>
      </c>
      <c r="AJ78">
        <v>2</v>
      </c>
      <c r="AK78" s="125" t="s">
        <v>72</v>
      </c>
      <c r="AL78" s="125" t="s">
        <v>73</v>
      </c>
      <c r="AM78" s="126" t="s">
        <v>73</v>
      </c>
      <c r="AN78" s="125" t="s">
        <v>367</v>
      </c>
      <c r="AO78" s="56">
        <v>46013.911365740743</v>
      </c>
      <c r="AP78" s="56">
        <v>46013.869699074072</v>
      </c>
      <c r="AQ78" s="125" t="s">
        <v>73</v>
      </c>
      <c r="AR78" s="125" t="s">
        <v>73</v>
      </c>
      <c r="AS78" s="125" t="s">
        <v>73</v>
      </c>
      <c r="AT78" s="125" t="s">
        <v>73</v>
      </c>
      <c r="AU78" s="125" t="s">
        <v>73</v>
      </c>
      <c r="AV78" s="125" t="s">
        <v>73</v>
      </c>
      <c r="AW78">
        <v>0</v>
      </c>
      <c r="AX78" s="125" t="s">
        <v>73</v>
      </c>
      <c r="AY78" s="125" t="s">
        <v>158</v>
      </c>
      <c r="AZ78" s="125" t="s">
        <v>158</v>
      </c>
      <c r="BA78" s="125" t="s">
        <v>158</v>
      </c>
      <c r="BB78"/>
      <c r="BC78"/>
    </row>
    <row r="79" spans="1:55" ht="32" x14ac:dyDescent="0.2">
      <c r="A79" s="125" t="s">
        <v>185</v>
      </c>
      <c r="B79" s="125" t="s">
        <v>332</v>
      </c>
      <c r="C79" s="125" t="s">
        <v>333</v>
      </c>
      <c r="D79" s="125" t="s">
        <v>73</v>
      </c>
      <c r="E79" s="125" t="s">
        <v>72</v>
      </c>
      <c r="F79" s="125" t="s">
        <v>73</v>
      </c>
      <c r="G79" s="125" t="s">
        <v>72</v>
      </c>
      <c r="H79" s="125" t="s">
        <v>72</v>
      </c>
      <c r="I79">
        <v>4</v>
      </c>
      <c r="Q79">
        <v>0</v>
      </c>
      <c r="R79">
        <v>0</v>
      </c>
      <c r="S79">
        <v>0</v>
      </c>
      <c r="T79">
        <v>0</v>
      </c>
      <c r="U79" s="125" t="s">
        <v>73</v>
      </c>
      <c r="V79">
        <v>6</v>
      </c>
      <c r="W79">
        <v>15</v>
      </c>
      <c r="X79">
        <v>2</v>
      </c>
      <c r="Y79">
        <v>1</v>
      </c>
      <c r="Z79">
        <v>0</v>
      </c>
      <c r="AA79">
        <v>0</v>
      </c>
      <c r="AB79">
        <v>1</v>
      </c>
      <c r="AC79" s="125" t="s">
        <v>73</v>
      </c>
      <c r="AD79">
        <v>3</v>
      </c>
      <c r="AE79">
        <v>0</v>
      </c>
      <c r="AF79">
        <v>0</v>
      </c>
      <c r="AG79">
        <v>0</v>
      </c>
      <c r="AH79">
        <v>0</v>
      </c>
      <c r="AI79">
        <v>50</v>
      </c>
      <c r="AJ79">
        <v>10</v>
      </c>
      <c r="AK79" s="125" t="s">
        <v>73</v>
      </c>
      <c r="AL79" s="125" t="s">
        <v>73</v>
      </c>
      <c r="AM79" s="126" t="s">
        <v>434</v>
      </c>
      <c r="AN79" s="125" t="s">
        <v>348</v>
      </c>
      <c r="AO79" s="56">
        <v>46013.674212962964</v>
      </c>
      <c r="AP79" s="56">
        <v>46020.812604166669</v>
      </c>
      <c r="AQ79" s="125" t="s">
        <v>73</v>
      </c>
      <c r="AR79" s="125" t="s">
        <v>73</v>
      </c>
      <c r="AS79" s="125" t="s">
        <v>73</v>
      </c>
      <c r="AT79" s="125" t="s">
        <v>73</v>
      </c>
      <c r="AU79" s="125" t="s">
        <v>73</v>
      </c>
      <c r="AV79" s="125" t="s">
        <v>73</v>
      </c>
      <c r="AW79">
        <v>0</v>
      </c>
      <c r="AX79" s="125" t="s">
        <v>75</v>
      </c>
      <c r="AY79" s="125" t="s">
        <v>335</v>
      </c>
      <c r="AZ79" s="125" t="s">
        <v>336</v>
      </c>
      <c r="BA79" s="125" t="s">
        <v>337</v>
      </c>
      <c r="BB79"/>
      <c r="BC79"/>
    </row>
    <row r="80" spans="1:55" ht="16" x14ac:dyDescent="0.2">
      <c r="A80" s="125" t="s">
        <v>185</v>
      </c>
      <c r="B80" s="125" t="s">
        <v>345</v>
      </c>
      <c r="C80" s="125" t="s">
        <v>346</v>
      </c>
      <c r="D80" s="125" t="s">
        <v>72</v>
      </c>
      <c r="E80" s="125" t="s">
        <v>72</v>
      </c>
      <c r="F80" s="125" t="s">
        <v>72</v>
      </c>
      <c r="G80" s="125" t="s">
        <v>73</v>
      </c>
      <c r="H80" s="125"/>
      <c r="I80">
        <v>11</v>
      </c>
      <c r="J80">
        <v>4</v>
      </c>
      <c r="L80">
        <v>9</v>
      </c>
      <c r="N80">
        <v>11</v>
      </c>
      <c r="O80">
        <v>4</v>
      </c>
      <c r="Q80">
        <v>5</v>
      </c>
      <c r="R80">
        <v>0</v>
      </c>
      <c r="S80">
        <v>4</v>
      </c>
      <c r="T80">
        <v>1</v>
      </c>
      <c r="U80" s="125" t="s">
        <v>73</v>
      </c>
      <c r="V80">
        <v>0</v>
      </c>
      <c r="W80">
        <v>0</v>
      </c>
      <c r="X80">
        <v>3</v>
      </c>
      <c r="Y80">
        <v>3</v>
      </c>
      <c r="Z80">
        <v>0</v>
      </c>
      <c r="AA80">
        <v>0</v>
      </c>
      <c r="AB80">
        <v>0</v>
      </c>
      <c r="AC80" s="125" t="s">
        <v>72</v>
      </c>
      <c r="AD80">
        <v>6</v>
      </c>
      <c r="AE80">
        <v>6</v>
      </c>
      <c r="AF80">
        <v>2</v>
      </c>
      <c r="AG80">
        <v>0</v>
      </c>
      <c r="AH80">
        <v>2</v>
      </c>
      <c r="AI80">
        <v>125</v>
      </c>
      <c r="AJ80">
        <v>20</v>
      </c>
      <c r="AK80" s="125" t="s">
        <v>72</v>
      </c>
      <c r="AL80" s="125" t="s">
        <v>72</v>
      </c>
      <c r="AM80" s="126" t="s">
        <v>73</v>
      </c>
      <c r="AN80" s="125" t="s">
        <v>349</v>
      </c>
      <c r="AO80" s="56">
        <v>46013.482916666668</v>
      </c>
      <c r="AP80" s="56">
        <v>46013.441250000003</v>
      </c>
      <c r="AQ80" s="125" t="s">
        <v>73</v>
      </c>
      <c r="AR80" s="125" t="s">
        <v>73</v>
      </c>
      <c r="AS80" s="125" t="s">
        <v>73</v>
      </c>
      <c r="AT80" s="125" t="s">
        <v>73</v>
      </c>
      <c r="AU80" s="125" t="s">
        <v>73</v>
      </c>
      <c r="AV80" s="125" t="s">
        <v>73</v>
      </c>
      <c r="AW80">
        <v>0</v>
      </c>
      <c r="AX80" s="125" t="s">
        <v>73</v>
      </c>
      <c r="AY80" s="125" t="s">
        <v>158</v>
      </c>
      <c r="AZ80" s="125" t="s">
        <v>158</v>
      </c>
      <c r="BA80" s="125" t="s">
        <v>158</v>
      </c>
      <c r="BB80"/>
      <c r="BC80"/>
    </row>
    <row r="81" spans="1:55" ht="16" x14ac:dyDescent="0.2">
      <c r="A81" s="125" t="s">
        <v>185</v>
      </c>
      <c r="B81" s="125" t="s">
        <v>341</v>
      </c>
      <c r="C81" s="125" t="s">
        <v>342</v>
      </c>
      <c r="D81" s="125" t="s">
        <v>73</v>
      </c>
      <c r="E81" s="125" t="s">
        <v>72</v>
      </c>
      <c r="F81" s="125" t="s">
        <v>72</v>
      </c>
      <c r="G81" s="125" t="s">
        <v>73</v>
      </c>
      <c r="H81" s="125"/>
      <c r="I81">
        <v>6</v>
      </c>
      <c r="N81">
        <v>4</v>
      </c>
      <c r="Q81">
        <v>4</v>
      </c>
      <c r="R81">
        <v>3</v>
      </c>
      <c r="S81">
        <v>1</v>
      </c>
      <c r="T81">
        <v>0</v>
      </c>
      <c r="U81" s="125" t="s">
        <v>72</v>
      </c>
      <c r="V81">
        <v>0</v>
      </c>
      <c r="W81">
        <v>0</v>
      </c>
      <c r="X81">
        <v>0</v>
      </c>
      <c r="Y81">
        <v>0</v>
      </c>
      <c r="Z81">
        <v>0</v>
      </c>
      <c r="AA81">
        <v>0</v>
      </c>
      <c r="AB81">
        <v>0</v>
      </c>
      <c r="AC81" s="125" t="s">
        <v>72</v>
      </c>
      <c r="AD81">
        <v>0</v>
      </c>
      <c r="AE81">
        <v>0</v>
      </c>
      <c r="AF81">
        <v>0</v>
      </c>
      <c r="AG81">
        <v>0</v>
      </c>
      <c r="AH81">
        <v>0</v>
      </c>
      <c r="AI81">
        <v>35</v>
      </c>
      <c r="AJ81">
        <v>4</v>
      </c>
      <c r="AK81" s="125" t="s">
        <v>73</v>
      </c>
      <c r="AL81" s="125" t="s">
        <v>73</v>
      </c>
      <c r="AM81" s="126" t="s">
        <v>73</v>
      </c>
      <c r="AN81" s="125" t="s">
        <v>350</v>
      </c>
      <c r="AO81" s="56">
        <v>46013.476944444446</v>
      </c>
      <c r="AP81" s="56">
        <v>46013.435277777775</v>
      </c>
      <c r="AQ81" s="125" t="s">
        <v>342</v>
      </c>
      <c r="AR81" s="125" t="s">
        <v>351</v>
      </c>
      <c r="AS81" s="125" t="s">
        <v>76</v>
      </c>
      <c r="AT81" s="125" t="s">
        <v>352</v>
      </c>
      <c r="AU81" s="125" t="s">
        <v>353</v>
      </c>
      <c r="AV81" s="125" t="s">
        <v>354</v>
      </c>
      <c r="AW81">
        <v>20</v>
      </c>
      <c r="AX81" s="125" t="s">
        <v>73</v>
      </c>
      <c r="AY81" s="125" t="s">
        <v>158</v>
      </c>
      <c r="AZ81" s="125" t="s">
        <v>158</v>
      </c>
      <c r="BA81" s="125" t="s">
        <v>158</v>
      </c>
      <c r="BB81"/>
      <c r="BC81"/>
    </row>
    <row r="82" spans="1:55" ht="32" x14ac:dyDescent="0.2">
      <c r="A82" s="125" t="s">
        <v>185</v>
      </c>
      <c r="B82" s="125" t="s">
        <v>324</v>
      </c>
      <c r="C82" s="125" t="s">
        <v>325</v>
      </c>
      <c r="D82" s="125" t="s">
        <v>73</v>
      </c>
      <c r="E82" s="125" t="s">
        <v>72</v>
      </c>
      <c r="F82" s="125" t="s">
        <v>72</v>
      </c>
      <c r="G82" s="125" t="s">
        <v>73</v>
      </c>
      <c r="H82" s="125"/>
      <c r="I82">
        <v>6</v>
      </c>
      <c r="Q82">
        <v>3</v>
      </c>
      <c r="R82">
        <v>2</v>
      </c>
      <c r="S82">
        <v>1</v>
      </c>
      <c r="T82">
        <v>0</v>
      </c>
      <c r="U82" s="125" t="s">
        <v>72</v>
      </c>
      <c r="V82">
        <v>0</v>
      </c>
      <c r="W82">
        <v>0</v>
      </c>
      <c r="X82">
        <v>0</v>
      </c>
      <c r="Y82">
        <v>0</v>
      </c>
      <c r="Z82">
        <v>0</v>
      </c>
      <c r="AA82">
        <v>0</v>
      </c>
      <c r="AB82">
        <v>0</v>
      </c>
      <c r="AC82" s="125" t="s">
        <v>72</v>
      </c>
      <c r="AD82">
        <v>6</v>
      </c>
      <c r="AE82">
        <v>6</v>
      </c>
      <c r="AF82">
        <v>0</v>
      </c>
      <c r="AG82">
        <v>6</v>
      </c>
      <c r="AH82">
        <v>0</v>
      </c>
      <c r="AI82">
        <v>55</v>
      </c>
      <c r="AJ82">
        <v>1</v>
      </c>
      <c r="AK82" s="125" t="s">
        <v>73</v>
      </c>
      <c r="AL82" s="125" t="s">
        <v>73</v>
      </c>
      <c r="AM82" s="126" t="s">
        <v>326</v>
      </c>
      <c r="AN82" s="125" t="s">
        <v>331</v>
      </c>
      <c r="AO82" s="56">
        <v>46011.819953703707</v>
      </c>
      <c r="AP82" s="56">
        <v>46011.778287037036</v>
      </c>
      <c r="AQ82" s="125" t="s">
        <v>325</v>
      </c>
      <c r="AR82" s="125" t="s">
        <v>78</v>
      </c>
      <c r="AS82" s="125" t="s">
        <v>179</v>
      </c>
      <c r="AT82" s="125" t="s">
        <v>77</v>
      </c>
      <c r="AU82" s="125" t="s">
        <v>328</v>
      </c>
      <c r="AV82" s="125" t="s">
        <v>329</v>
      </c>
      <c r="AW82">
        <v>35</v>
      </c>
      <c r="AX82" s="125" t="s">
        <v>73</v>
      </c>
      <c r="AY82" s="125" t="s">
        <v>158</v>
      </c>
      <c r="AZ82" s="125" t="s">
        <v>158</v>
      </c>
      <c r="BA82" s="125" t="s">
        <v>158</v>
      </c>
      <c r="BB82"/>
      <c r="BC82"/>
    </row>
    <row r="83" spans="1:55" ht="16" x14ac:dyDescent="0.2">
      <c r="A83" s="125" t="s">
        <v>185</v>
      </c>
      <c r="B83" s="125" t="s">
        <v>318</v>
      </c>
      <c r="C83" s="125" t="s">
        <v>319</v>
      </c>
      <c r="D83" s="125" t="s">
        <v>73</v>
      </c>
      <c r="E83" s="125" t="s">
        <v>72</v>
      </c>
      <c r="F83" s="125" t="s">
        <v>73</v>
      </c>
      <c r="G83" s="125" t="s">
        <v>73</v>
      </c>
      <c r="H83" s="125"/>
      <c r="I83">
        <v>9</v>
      </c>
      <c r="J83">
        <v>9</v>
      </c>
      <c r="L83">
        <v>5</v>
      </c>
      <c r="Q83">
        <v>0</v>
      </c>
      <c r="R83">
        <v>0</v>
      </c>
      <c r="S83">
        <v>0</v>
      </c>
      <c r="T83">
        <v>0</v>
      </c>
      <c r="U83" s="125" t="s">
        <v>73</v>
      </c>
      <c r="V83">
        <v>0</v>
      </c>
      <c r="W83">
        <v>0</v>
      </c>
      <c r="X83">
        <v>0</v>
      </c>
      <c r="Y83">
        <v>0</v>
      </c>
      <c r="Z83">
        <v>0</v>
      </c>
      <c r="AA83">
        <v>0</v>
      </c>
      <c r="AB83">
        <v>0</v>
      </c>
      <c r="AC83" s="125" t="s">
        <v>73</v>
      </c>
      <c r="AD83">
        <v>6</v>
      </c>
      <c r="AE83">
        <v>6</v>
      </c>
      <c r="AF83">
        <v>0</v>
      </c>
      <c r="AG83">
        <v>6</v>
      </c>
      <c r="AH83">
        <v>2</v>
      </c>
      <c r="AI83">
        <v>75</v>
      </c>
      <c r="AJ83">
        <v>20</v>
      </c>
      <c r="AK83" s="125" t="s">
        <v>73</v>
      </c>
      <c r="AL83" s="125" t="s">
        <v>72</v>
      </c>
      <c r="AM83" s="126" t="s">
        <v>73</v>
      </c>
      <c r="AN83" s="125" t="s">
        <v>322</v>
      </c>
      <c r="AO83" s="56">
        <v>46011.599976851852</v>
      </c>
      <c r="AP83" s="56">
        <v>46011.558310185188</v>
      </c>
      <c r="AQ83" s="125" t="s">
        <v>73</v>
      </c>
      <c r="AR83" s="125" t="s">
        <v>73</v>
      </c>
      <c r="AS83" s="125" t="s">
        <v>73</v>
      </c>
      <c r="AT83" s="125" t="s">
        <v>73</v>
      </c>
      <c r="AU83" s="125" t="s">
        <v>73</v>
      </c>
      <c r="AV83" s="125" t="s">
        <v>73</v>
      </c>
      <c r="AW83">
        <v>0</v>
      </c>
      <c r="AX83" s="125" t="s">
        <v>73</v>
      </c>
      <c r="AY83" s="125" t="s">
        <v>158</v>
      </c>
      <c r="AZ83" s="125" t="s">
        <v>158</v>
      </c>
      <c r="BA83" s="125" t="s">
        <v>158</v>
      </c>
      <c r="BB83"/>
      <c r="BC83"/>
    </row>
    <row r="84" spans="1:55" ht="16" x14ac:dyDescent="0.2">
      <c r="A84" s="125" t="s">
        <v>185</v>
      </c>
      <c r="B84" s="125" t="s">
        <v>303</v>
      </c>
      <c r="C84" s="125" t="s">
        <v>304</v>
      </c>
      <c r="D84" s="125" t="s">
        <v>72</v>
      </c>
      <c r="E84" s="125" t="s">
        <v>72</v>
      </c>
      <c r="F84" s="125" t="s">
        <v>72</v>
      </c>
      <c r="G84" s="125" t="s">
        <v>73</v>
      </c>
      <c r="H84" s="125"/>
      <c r="I84">
        <v>10</v>
      </c>
      <c r="Q84">
        <v>0</v>
      </c>
      <c r="R84">
        <v>0</v>
      </c>
      <c r="S84">
        <v>0</v>
      </c>
      <c r="T84">
        <v>0</v>
      </c>
      <c r="U84" s="125" t="s">
        <v>73</v>
      </c>
      <c r="V84">
        <v>0</v>
      </c>
      <c r="W84">
        <v>0</v>
      </c>
      <c r="X84">
        <v>5</v>
      </c>
      <c r="Y84">
        <v>5</v>
      </c>
      <c r="Z84">
        <v>0</v>
      </c>
      <c r="AA84">
        <v>0</v>
      </c>
      <c r="AB84">
        <v>0</v>
      </c>
      <c r="AC84" s="125" t="s">
        <v>72</v>
      </c>
      <c r="AD84">
        <v>4</v>
      </c>
      <c r="AE84">
        <v>0</v>
      </c>
      <c r="AF84">
        <v>0</v>
      </c>
      <c r="AG84">
        <v>0</v>
      </c>
      <c r="AH84">
        <v>0</v>
      </c>
      <c r="AI84">
        <v>65</v>
      </c>
      <c r="AJ84">
        <v>2</v>
      </c>
      <c r="AK84" s="125" t="s">
        <v>72</v>
      </c>
      <c r="AL84" s="125" t="s">
        <v>73</v>
      </c>
      <c r="AM84" s="126" t="s">
        <v>73</v>
      </c>
      <c r="AN84" s="125" t="s">
        <v>323</v>
      </c>
      <c r="AO84" s="56">
        <v>46011.050937499997</v>
      </c>
      <c r="AP84" s="56">
        <v>46011.009270833332</v>
      </c>
      <c r="AQ84" s="125" t="s">
        <v>73</v>
      </c>
      <c r="AR84" s="125" t="s">
        <v>73</v>
      </c>
      <c r="AS84" s="125" t="s">
        <v>73</v>
      </c>
      <c r="AT84" s="125" t="s">
        <v>73</v>
      </c>
      <c r="AU84" s="125" t="s">
        <v>73</v>
      </c>
      <c r="AV84" s="125" t="s">
        <v>73</v>
      </c>
      <c r="AW84">
        <v>0</v>
      </c>
      <c r="AX84" s="125" t="s">
        <v>73</v>
      </c>
      <c r="AY84" s="125" t="s">
        <v>158</v>
      </c>
      <c r="AZ84" s="125" t="s">
        <v>158</v>
      </c>
      <c r="BA84" s="125" t="s">
        <v>158</v>
      </c>
      <c r="BB84"/>
      <c r="BC84"/>
    </row>
    <row r="85" spans="1:55" ht="16" x14ac:dyDescent="0.2">
      <c r="A85" s="125" t="s">
        <v>185</v>
      </c>
      <c r="B85" s="125" t="s">
        <v>298</v>
      </c>
      <c r="C85" s="125" t="s">
        <v>299</v>
      </c>
      <c r="D85" s="125" t="s">
        <v>73</v>
      </c>
      <c r="E85" s="125" t="s">
        <v>72</v>
      </c>
      <c r="F85" s="125" t="s">
        <v>72</v>
      </c>
      <c r="G85" s="125" t="s">
        <v>73</v>
      </c>
      <c r="H85" s="125"/>
      <c r="I85">
        <v>5</v>
      </c>
      <c r="L85">
        <v>1</v>
      </c>
      <c r="Q85">
        <v>0</v>
      </c>
      <c r="R85">
        <v>0</v>
      </c>
      <c r="S85">
        <v>0</v>
      </c>
      <c r="T85">
        <v>0</v>
      </c>
      <c r="U85" s="125" t="s">
        <v>73</v>
      </c>
      <c r="V85">
        <v>0</v>
      </c>
      <c r="W85">
        <v>0</v>
      </c>
      <c r="X85">
        <v>0</v>
      </c>
      <c r="Y85">
        <v>0</v>
      </c>
      <c r="Z85">
        <v>0</v>
      </c>
      <c r="AA85">
        <v>0</v>
      </c>
      <c r="AB85">
        <v>0</v>
      </c>
      <c r="AC85" s="125" t="s">
        <v>73</v>
      </c>
      <c r="AD85">
        <v>6</v>
      </c>
      <c r="AE85">
        <v>6</v>
      </c>
      <c r="AF85">
        <v>6</v>
      </c>
      <c r="AG85">
        <v>6</v>
      </c>
      <c r="AH85">
        <v>0</v>
      </c>
      <c r="AI85">
        <v>70</v>
      </c>
      <c r="AJ85">
        <v>10</v>
      </c>
      <c r="AK85" s="125" t="s">
        <v>73</v>
      </c>
      <c r="AL85" s="125" t="s">
        <v>73</v>
      </c>
      <c r="AM85" s="126" t="s">
        <v>73</v>
      </c>
      <c r="AN85" s="125" t="s">
        <v>300</v>
      </c>
      <c r="AO85" s="56">
        <v>46008.493437500001</v>
      </c>
      <c r="AP85" s="56">
        <v>46008.451770833337</v>
      </c>
      <c r="AQ85" s="125" t="s">
        <v>73</v>
      </c>
      <c r="AR85" s="125" t="s">
        <v>73</v>
      </c>
      <c r="AS85" s="125" t="s">
        <v>73</v>
      </c>
      <c r="AT85" s="125" t="s">
        <v>73</v>
      </c>
      <c r="AU85" s="125" t="s">
        <v>73</v>
      </c>
      <c r="AV85" s="125" t="s">
        <v>73</v>
      </c>
      <c r="AW85">
        <v>0</v>
      </c>
      <c r="AX85" s="125" t="s">
        <v>73</v>
      </c>
      <c r="AY85" s="125" t="s">
        <v>158</v>
      </c>
      <c r="AZ85" s="125" t="s">
        <v>158</v>
      </c>
      <c r="BA85" s="125" t="s">
        <v>158</v>
      </c>
      <c r="BB85"/>
      <c r="BC85"/>
    </row>
    <row r="86" spans="1:55" ht="16" x14ac:dyDescent="0.2">
      <c r="A86" s="125" t="s">
        <v>185</v>
      </c>
      <c r="B86" s="125" t="s">
        <v>295</v>
      </c>
      <c r="C86" s="125" t="s">
        <v>296</v>
      </c>
      <c r="D86" s="125" t="s">
        <v>73</v>
      </c>
      <c r="E86" s="125" t="s">
        <v>72</v>
      </c>
      <c r="F86" s="125" t="s">
        <v>72</v>
      </c>
      <c r="G86" s="125" t="s">
        <v>73</v>
      </c>
      <c r="H86" s="125"/>
      <c r="I86">
        <v>5</v>
      </c>
      <c r="Q86">
        <v>0</v>
      </c>
      <c r="R86">
        <v>0</v>
      </c>
      <c r="S86">
        <v>0</v>
      </c>
      <c r="T86">
        <v>0</v>
      </c>
      <c r="U86" s="125" t="s">
        <v>73</v>
      </c>
      <c r="V86">
        <v>0</v>
      </c>
      <c r="W86">
        <v>0</v>
      </c>
      <c r="X86">
        <v>0</v>
      </c>
      <c r="Y86">
        <v>0</v>
      </c>
      <c r="Z86">
        <v>0</v>
      </c>
      <c r="AA86">
        <v>0</v>
      </c>
      <c r="AB86">
        <v>0</v>
      </c>
      <c r="AC86" s="125" t="s">
        <v>73</v>
      </c>
      <c r="AD86">
        <v>0</v>
      </c>
      <c r="AE86">
        <v>0</v>
      </c>
      <c r="AF86">
        <v>0</v>
      </c>
      <c r="AG86">
        <v>0</v>
      </c>
      <c r="AH86">
        <v>0</v>
      </c>
      <c r="AI86">
        <v>25</v>
      </c>
      <c r="AJ86">
        <v>10</v>
      </c>
      <c r="AK86" s="125" t="s">
        <v>73</v>
      </c>
      <c r="AL86" s="125" t="s">
        <v>73</v>
      </c>
      <c r="AM86" s="126" t="s">
        <v>301</v>
      </c>
      <c r="AN86" s="125" t="s">
        <v>302</v>
      </c>
      <c r="AO86" s="56">
        <v>46007.962175925924</v>
      </c>
      <c r="AP86" s="56">
        <v>46007.92050925926</v>
      </c>
      <c r="AQ86" s="125" t="s">
        <v>73</v>
      </c>
      <c r="AR86" s="125" t="s">
        <v>73</v>
      </c>
      <c r="AS86" s="125" t="s">
        <v>73</v>
      </c>
      <c r="AT86" s="125" t="s">
        <v>73</v>
      </c>
      <c r="AU86" s="125" t="s">
        <v>73</v>
      </c>
      <c r="AV86" s="125" t="s">
        <v>73</v>
      </c>
      <c r="AW86">
        <v>0</v>
      </c>
      <c r="AX86" s="125" t="s">
        <v>73</v>
      </c>
      <c r="AY86" s="125" t="s">
        <v>158</v>
      </c>
      <c r="AZ86" s="125" t="s">
        <v>158</v>
      </c>
      <c r="BA86" s="125" t="s">
        <v>158</v>
      </c>
      <c r="BB86"/>
      <c r="BC86"/>
    </row>
    <row r="87" spans="1:55" ht="16" x14ac:dyDescent="0.2">
      <c r="A87" s="125" t="s">
        <v>185</v>
      </c>
      <c r="B87" s="125" t="s">
        <v>260</v>
      </c>
      <c r="C87" s="125" t="s">
        <v>282</v>
      </c>
      <c r="D87" s="125" t="s">
        <v>73</v>
      </c>
      <c r="E87" s="125" t="s">
        <v>72</v>
      </c>
      <c r="F87" s="125" t="s">
        <v>72</v>
      </c>
      <c r="G87" s="125" t="s">
        <v>262</v>
      </c>
      <c r="H87" s="125"/>
      <c r="I87">
        <v>5</v>
      </c>
      <c r="J87">
        <v>6</v>
      </c>
      <c r="Q87">
        <v>0</v>
      </c>
      <c r="R87">
        <v>0</v>
      </c>
      <c r="S87">
        <v>0</v>
      </c>
      <c r="T87">
        <v>0</v>
      </c>
      <c r="U87" s="125" t="s">
        <v>73</v>
      </c>
      <c r="V87">
        <v>3</v>
      </c>
      <c r="W87">
        <v>18</v>
      </c>
      <c r="X87">
        <v>3</v>
      </c>
      <c r="Y87">
        <v>3</v>
      </c>
      <c r="Z87">
        <v>0</v>
      </c>
      <c r="AA87">
        <v>0</v>
      </c>
      <c r="AB87">
        <v>0</v>
      </c>
      <c r="AC87" s="125" t="s">
        <v>72</v>
      </c>
      <c r="AD87">
        <v>6</v>
      </c>
      <c r="AE87">
        <v>6</v>
      </c>
      <c r="AF87">
        <v>0</v>
      </c>
      <c r="AG87">
        <v>0</v>
      </c>
      <c r="AH87">
        <v>1</v>
      </c>
      <c r="AI87">
        <v>120</v>
      </c>
      <c r="AJ87">
        <v>30</v>
      </c>
      <c r="AK87" s="125" t="s">
        <v>72</v>
      </c>
      <c r="AL87" s="125" t="s">
        <v>73</v>
      </c>
      <c r="AM87" s="126" t="s">
        <v>73</v>
      </c>
      <c r="AN87" s="125" t="s">
        <v>283</v>
      </c>
      <c r="AO87" s="56">
        <v>46006.750601851854</v>
      </c>
      <c r="AP87" s="56">
        <v>46006.720810185187</v>
      </c>
      <c r="AQ87" s="125" t="s">
        <v>73</v>
      </c>
      <c r="AR87" s="125" t="s">
        <v>73</v>
      </c>
      <c r="AS87" s="125" t="s">
        <v>73</v>
      </c>
      <c r="AT87" s="125" t="s">
        <v>73</v>
      </c>
      <c r="AU87" s="125" t="s">
        <v>73</v>
      </c>
      <c r="AV87" s="125" t="s">
        <v>73</v>
      </c>
      <c r="AW87">
        <v>0</v>
      </c>
      <c r="AX87" s="125" t="s">
        <v>75</v>
      </c>
      <c r="AY87" s="125" t="s">
        <v>264</v>
      </c>
      <c r="AZ87" s="125" t="s">
        <v>265</v>
      </c>
      <c r="BA87" s="125" t="s">
        <v>266</v>
      </c>
      <c r="BB87"/>
      <c r="BC87"/>
    </row>
    <row r="88" spans="1:55" ht="16" x14ac:dyDescent="0.2">
      <c r="A88" s="125" t="s">
        <v>185</v>
      </c>
      <c r="B88" s="125" t="s">
        <v>275</v>
      </c>
      <c r="C88" s="125" t="s">
        <v>276</v>
      </c>
      <c r="D88" s="125" t="s">
        <v>73</v>
      </c>
      <c r="E88" s="125" t="s">
        <v>73</v>
      </c>
      <c r="F88" s="125" t="s">
        <v>72</v>
      </c>
      <c r="G88" s="125" t="s">
        <v>73</v>
      </c>
      <c r="H88" s="125"/>
      <c r="Q88">
        <v>0</v>
      </c>
      <c r="R88">
        <v>0</v>
      </c>
      <c r="S88">
        <v>0</v>
      </c>
      <c r="T88">
        <v>0</v>
      </c>
      <c r="U88" s="125" t="s">
        <v>73</v>
      </c>
      <c r="V88">
        <v>0</v>
      </c>
      <c r="W88">
        <v>0</v>
      </c>
      <c r="X88">
        <v>0</v>
      </c>
      <c r="Y88">
        <v>0</v>
      </c>
      <c r="Z88">
        <v>0</v>
      </c>
      <c r="AA88">
        <v>0</v>
      </c>
      <c r="AB88">
        <v>0</v>
      </c>
      <c r="AC88" s="125" t="s">
        <v>73</v>
      </c>
      <c r="AD88">
        <v>6</v>
      </c>
      <c r="AE88">
        <v>0</v>
      </c>
      <c r="AF88">
        <v>0</v>
      </c>
      <c r="AG88">
        <v>6</v>
      </c>
      <c r="AH88">
        <v>0</v>
      </c>
      <c r="AI88">
        <v>16</v>
      </c>
      <c r="AJ88">
        <v>1</v>
      </c>
      <c r="AK88" s="125" t="s">
        <v>73</v>
      </c>
      <c r="AL88" s="125" t="s">
        <v>73</v>
      </c>
      <c r="AM88" s="126" t="s">
        <v>284</v>
      </c>
      <c r="AN88" s="125" t="s">
        <v>285</v>
      </c>
      <c r="AO88" s="56">
        <v>46006.744270833333</v>
      </c>
      <c r="AP88" s="56">
        <v>46006.702604166669</v>
      </c>
      <c r="AQ88" s="125" t="s">
        <v>73</v>
      </c>
      <c r="AR88" s="125" t="s">
        <v>73</v>
      </c>
      <c r="AS88" s="125" t="s">
        <v>73</v>
      </c>
      <c r="AT88" s="125" t="s">
        <v>73</v>
      </c>
      <c r="AU88" s="125" t="s">
        <v>73</v>
      </c>
      <c r="AV88" s="125" t="s">
        <v>73</v>
      </c>
      <c r="AW88">
        <v>0</v>
      </c>
      <c r="AX88" s="125" t="s">
        <v>73</v>
      </c>
      <c r="AY88" s="125" t="s">
        <v>158</v>
      </c>
      <c r="AZ88" s="125" t="s">
        <v>158</v>
      </c>
      <c r="BA88" s="125" t="s">
        <v>158</v>
      </c>
      <c r="BB88"/>
      <c r="BC88"/>
    </row>
    <row r="89" spans="1:55" ht="16" x14ac:dyDescent="0.2">
      <c r="A89" s="125" t="s">
        <v>185</v>
      </c>
      <c r="B89" s="125" t="s">
        <v>272</v>
      </c>
      <c r="C89" s="125" t="s">
        <v>273</v>
      </c>
      <c r="D89" s="125" t="s">
        <v>73</v>
      </c>
      <c r="E89" s="125" t="s">
        <v>72</v>
      </c>
      <c r="F89" s="125" t="s">
        <v>73</v>
      </c>
      <c r="G89" s="125" t="s">
        <v>73</v>
      </c>
      <c r="H89" s="125"/>
      <c r="I89">
        <v>5</v>
      </c>
      <c r="J89">
        <v>5</v>
      </c>
      <c r="Q89">
        <v>0</v>
      </c>
      <c r="R89">
        <v>0</v>
      </c>
      <c r="S89">
        <v>0</v>
      </c>
      <c r="T89">
        <v>0</v>
      </c>
      <c r="U89" s="125" t="s">
        <v>73</v>
      </c>
      <c r="V89">
        <v>0</v>
      </c>
      <c r="W89">
        <v>0</v>
      </c>
      <c r="X89">
        <v>7</v>
      </c>
      <c r="Y89">
        <v>5</v>
      </c>
      <c r="Z89">
        <v>1</v>
      </c>
      <c r="AA89">
        <v>1</v>
      </c>
      <c r="AB89">
        <v>0</v>
      </c>
      <c r="AC89" s="125" t="s">
        <v>73</v>
      </c>
      <c r="AD89">
        <v>3</v>
      </c>
      <c r="AE89">
        <v>3</v>
      </c>
      <c r="AF89">
        <v>0</v>
      </c>
      <c r="AG89">
        <v>3</v>
      </c>
      <c r="AH89">
        <v>0</v>
      </c>
      <c r="AI89">
        <v>45</v>
      </c>
      <c r="AJ89">
        <v>10</v>
      </c>
      <c r="AK89" s="125" t="s">
        <v>73</v>
      </c>
      <c r="AL89" s="125" t="s">
        <v>73</v>
      </c>
      <c r="AM89" s="126" t="s">
        <v>73</v>
      </c>
      <c r="AN89" s="125" t="s">
        <v>286</v>
      </c>
      <c r="AO89" s="56">
        <v>46006.606979166667</v>
      </c>
      <c r="AP89" s="56">
        <v>46006.565312500003</v>
      </c>
      <c r="AQ89" s="125" t="s">
        <v>73</v>
      </c>
      <c r="AR89" s="125" t="s">
        <v>73</v>
      </c>
      <c r="AS89" s="125" t="s">
        <v>73</v>
      </c>
      <c r="AT89" s="125" t="s">
        <v>73</v>
      </c>
      <c r="AU89" s="125" t="s">
        <v>73</v>
      </c>
      <c r="AV89" s="125" t="s">
        <v>73</v>
      </c>
      <c r="AW89">
        <v>0</v>
      </c>
      <c r="AX89" s="125" t="s">
        <v>73</v>
      </c>
      <c r="AY89" s="125" t="s">
        <v>158</v>
      </c>
      <c r="AZ89" s="125" t="s">
        <v>158</v>
      </c>
      <c r="BA89" s="125" t="s">
        <v>158</v>
      </c>
      <c r="BB89"/>
      <c r="BC89"/>
    </row>
    <row r="90" spans="1:55" ht="16" x14ac:dyDescent="0.2">
      <c r="A90" s="125" t="s">
        <v>185</v>
      </c>
      <c r="B90" s="125" t="s">
        <v>279</v>
      </c>
      <c r="C90" s="125" t="s">
        <v>280</v>
      </c>
      <c r="D90" s="125" t="s">
        <v>73</v>
      </c>
      <c r="E90" s="125" t="s">
        <v>72</v>
      </c>
      <c r="F90" s="125" t="s">
        <v>72</v>
      </c>
      <c r="G90" s="125" t="s">
        <v>73</v>
      </c>
      <c r="H90" s="125"/>
      <c r="I90">
        <v>6</v>
      </c>
      <c r="J90">
        <v>2</v>
      </c>
      <c r="Q90">
        <v>1</v>
      </c>
      <c r="R90">
        <v>0</v>
      </c>
      <c r="S90">
        <v>1</v>
      </c>
      <c r="T90">
        <v>0</v>
      </c>
      <c r="U90" s="125" t="s">
        <v>72</v>
      </c>
      <c r="V90">
        <v>0</v>
      </c>
      <c r="W90">
        <v>0</v>
      </c>
      <c r="X90">
        <v>0</v>
      </c>
      <c r="Y90">
        <v>0</v>
      </c>
      <c r="Z90">
        <v>0</v>
      </c>
      <c r="AA90">
        <v>0</v>
      </c>
      <c r="AB90">
        <v>0</v>
      </c>
      <c r="AC90" s="125" t="s">
        <v>73</v>
      </c>
      <c r="AD90">
        <v>0</v>
      </c>
      <c r="AE90">
        <v>0</v>
      </c>
      <c r="AF90">
        <v>0</v>
      </c>
      <c r="AG90">
        <v>6</v>
      </c>
      <c r="AH90">
        <v>0</v>
      </c>
      <c r="AI90">
        <v>25</v>
      </c>
      <c r="AJ90">
        <v>2</v>
      </c>
      <c r="AK90" s="125" t="s">
        <v>73</v>
      </c>
      <c r="AL90" s="125" t="s">
        <v>73</v>
      </c>
      <c r="AM90" s="126" t="s">
        <v>73</v>
      </c>
      <c r="AN90" s="125" t="s">
        <v>287</v>
      </c>
      <c r="AO90" s="56">
        <v>46006.476782407408</v>
      </c>
      <c r="AP90" s="56">
        <v>46008.365856481483</v>
      </c>
      <c r="AQ90" s="125" t="s">
        <v>280</v>
      </c>
      <c r="AR90" s="125" t="s">
        <v>288</v>
      </c>
      <c r="AS90" s="125" t="s">
        <v>76</v>
      </c>
      <c r="AT90" s="125" t="s">
        <v>289</v>
      </c>
      <c r="AU90" s="125" t="s">
        <v>290</v>
      </c>
      <c r="AV90" s="125" t="s">
        <v>290</v>
      </c>
      <c r="AW90">
        <v>7</v>
      </c>
      <c r="AX90" s="125" t="s">
        <v>73</v>
      </c>
      <c r="AY90" s="125" t="s">
        <v>158</v>
      </c>
      <c r="AZ90" s="125" t="s">
        <v>158</v>
      </c>
      <c r="BA90" s="125" t="s">
        <v>158</v>
      </c>
      <c r="BB90"/>
      <c r="BC90"/>
    </row>
    <row r="91" spans="1:55" ht="16" x14ac:dyDescent="0.2">
      <c r="A91" s="125" t="s">
        <v>185</v>
      </c>
      <c r="B91" s="125" t="s">
        <v>267</v>
      </c>
      <c r="C91" s="125" t="s">
        <v>268</v>
      </c>
      <c r="D91" s="125" t="s">
        <v>73</v>
      </c>
      <c r="E91" s="125" t="s">
        <v>72</v>
      </c>
      <c r="F91" s="125" t="s">
        <v>72</v>
      </c>
      <c r="G91" s="125" t="s">
        <v>73</v>
      </c>
      <c r="H91" s="125"/>
      <c r="I91">
        <v>4</v>
      </c>
      <c r="N91">
        <v>4</v>
      </c>
      <c r="Q91">
        <v>0</v>
      </c>
      <c r="R91">
        <v>0</v>
      </c>
      <c r="S91">
        <v>0</v>
      </c>
      <c r="T91">
        <v>0</v>
      </c>
      <c r="U91" s="125" t="s">
        <v>73</v>
      </c>
      <c r="V91">
        <v>0</v>
      </c>
      <c r="W91">
        <v>0</v>
      </c>
      <c r="X91">
        <v>2</v>
      </c>
      <c r="Y91">
        <v>2</v>
      </c>
      <c r="Z91">
        <v>0</v>
      </c>
      <c r="AA91">
        <v>0</v>
      </c>
      <c r="AB91">
        <v>0</v>
      </c>
      <c r="AC91" s="125" t="s">
        <v>73</v>
      </c>
      <c r="AD91">
        <v>6</v>
      </c>
      <c r="AE91">
        <v>6</v>
      </c>
      <c r="AF91">
        <v>0</v>
      </c>
      <c r="AG91">
        <v>6</v>
      </c>
      <c r="AH91">
        <v>0</v>
      </c>
      <c r="AI91">
        <v>25</v>
      </c>
      <c r="AJ91">
        <v>0</v>
      </c>
      <c r="AK91" s="125" t="s">
        <v>73</v>
      </c>
      <c r="AL91" s="125" t="s">
        <v>73</v>
      </c>
      <c r="AM91" s="126" t="s">
        <v>73</v>
      </c>
      <c r="AN91" s="125" t="s">
        <v>291</v>
      </c>
      <c r="AO91" s="56">
        <v>46005.923032407409</v>
      </c>
      <c r="AP91" s="56">
        <v>46005.881365740737</v>
      </c>
      <c r="AQ91" s="125" t="s">
        <v>73</v>
      </c>
      <c r="AR91" s="125" t="s">
        <v>73</v>
      </c>
      <c r="AS91" s="125" t="s">
        <v>73</v>
      </c>
      <c r="AT91" s="125" t="s">
        <v>73</v>
      </c>
      <c r="AU91" s="125" t="s">
        <v>73</v>
      </c>
      <c r="AV91" s="125" t="s">
        <v>73</v>
      </c>
      <c r="AW91">
        <v>0</v>
      </c>
      <c r="AX91" s="125" t="s">
        <v>73</v>
      </c>
      <c r="AY91" s="125" t="s">
        <v>158</v>
      </c>
      <c r="AZ91" s="125" t="s">
        <v>158</v>
      </c>
      <c r="BA91" s="125" t="s">
        <v>158</v>
      </c>
      <c r="BB91"/>
      <c r="BC91"/>
    </row>
    <row r="92" spans="1:55" ht="16" x14ac:dyDescent="0.2">
      <c r="A92" s="125" t="s">
        <v>185</v>
      </c>
      <c r="B92" s="125" t="s">
        <v>248</v>
      </c>
      <c r="C92" s="125" t="s">
        <v>249</v>
      </c>
      <c r="D92" s="125" t="s">
        <v>73</v>
      </c>
      <c r="E92" s="125" t="s">
        <v>72</v>
      </c>
      <c r="F92" s="125" t="s">
        <v>72</v>
      </c>
      <c r="G92" s="125" t="s">
        <v>73</v>
      </c>
      <c r="H92" s="125"/>
      <c r="L92">
        <v>7</v>
      </c>
      <c r="Q92">
        <v>7</v>
      </c>
      <c r="R92">
        <v>0</v>
      </c>
      <c r="S92">
        <v>1</v>
      </c>
      <c r="T92">
        <v>6</v>
      </c>
      <c r="U92" s="125" t="s">
        <v>72</v>
      </c>
      <c r="V92">
        <v>0</v>
      </c>
      <c r="W92">
        <v>0</v>
      </c>
      <c r="X92">
        <v>0</v>
      </c>
      <c r="Y92">
        <v>0</v>
      </c>
      <c r="Z92">
        <v>0</v>
      </c>
      <c r="AA92">
        <v>0</v>
      </c>
      <c r="AB92">
        <v>0</v>
      </c>
      <c r="AC92" s="125" t="s">
        <v>73</v>
      </c>
      <c r="AD92">
        <v>0</v>
      </c>
      <c r="AE92">
        <v>0</v>
      </c>
      <c r="AF92">
        <v>0</v>
      </c>
      <c r="AG92">
        <v>0</v>
      </c>
      <c r="AH92">
        <v>4</v>
      </c>
      <c r="AI92">
        <v>46</v>
      </c>
      <c r="AJ92">
        <v>46</v>
      </c>
      <c r="AK92" s="125" t="s">
        <v>73</v>
      </c>
      <c r="AL92" s="125" t="s">
        <v>73</v>
      </c>
      <c r="AM92" s="126" t="s">
        <v>73</v>
      </c>
      <c r="AN92" s="125" t="s">
        <v>258</v>
      </c>
      <c r="AO92" s="56">
        <v>46005.578136574077</v>
      </c>
      <c r="AP92" s="56">
        <v>46005.536469907405</v>
      </c>
      <c r="AQ92" s="125" t="s">
        <v>249</v>
      </c>
      <c r="AR92" s="125" t="s">
        <v>78</v>
      </c>
      <c r="AS92" s="125" t="s">
        <v>254</v>
      </c>
      <c r="AT92" s="125" t="s">
        <v>219</v>
      </c>
      <c r="AU92" s="125" t="s">
        <v>255</v>
      </c>
      <c r="AV92" s="125" t="s">
        <v>255</v>
      </c>
      <c r="AW92">
        <v>27</v>
      </c>
      <c r="AX92" s="125" t="s">
        <v>73</v>
      </c>
      <c r="AY92" s="125" t="s">
        <v>158</v>
      </c>
      <c r="AZ92" s="125" t="s">
        <v>158</v>
      </c>
      <c r="BA92" s="125" t="s">
        <v>158</v>
      </c>
      <c r="BB92"/>
      <c r="BC92"/>
    </row>
    <row r="93" spans="1:55" ht="16" x14ac:dyDescent="0.2">
      <c r="A93" s="125" t="s">
        <v>185</v>
      </c>
      <c r="B93" s="125" t="s">
        <v>251</v>
      </c>
      <c r="C93" s="125" t="s">
        <v>252</v>
      </c>
      <c r="D93" s="125" t="s">
        <v>73</v>
      </c>
      <c r="E93" s="125" t="s">
        <v>72</v>
      </c>
      <c r="F93" s="125" t="s">
        <v>73</v>
      </c>
      <c r="G93" s="125" t="s">
        <v>73</v>
      </c>
      <c r="H93" s="125"/>
      <c r="I93">
        <v>8</v>
      </c>
      <c r="Q93">
        <v>1</v>
      </c>
      <c r="R93">
        <v>1</v>
      </c>
      <c r="S93">
        <v>0</v>
      </c>
      <c r="T93">
        <v>0</v>
      </c>
      <c r="U93" s="125" t="s">
        <v>72</v>
      </c>
      <c r="V93">
        <v>0</v>
      </c>
      <c r="W93">
        <v>0</v>
      </c>
      <c r="X93">
        <v>0</v>
      </c>
      <c r="Y93">
        <v>0</v>
      </c>
      <c r="Z93">
        <v>0</v>
      </c>
      <c r="AA93">
        <v>0</v>
      </c>
      <c r="AB93">
        <v>0</v>
      </c>
      <c r="AC93" s="125" t="s">
        <v>72</v>
      </c>
      <c r="AD93">
        <v>6</v>
      </c>
      <c r="AE93">
        <v>6</v>
      </c>
      <c r="AF93">
        <v>0</v>
      </c>
      <c r="AG93">
        <v>6</v>
      </c>
      <c r="AH93">
        <v>0</v>
      </c>
      <c r="AI93">
        <v>90</v>
      </c>
      <c r="AJ93">
        <v>0</v>
      </c>
      <c r="AK93" s="125" t="s">
        <v>73</v>
      </c>
      <c r="AL93" s="125" t="s">
        <v>73</v>
      </c>
      <c r="AM93" s="126" t="s">
        <v>73</v>
      </c>
      <c r="AN93" s="125" t="s">
        <v>259</v>
      </c>
      <c r="AO93" s="56">
        <v>46005.561099537037</v>
      </c>
      <c r="AP93" s="56">
        <v>46005.519432870373</v>
      </c>
      <c r="AQ93" s="125" t="s">
        <v>256</v>
      </c>
      <c r="AR93" s="125" t="s">
        <v>78</v>
      </c>
      <c r="AS93" s="125" t="s">
        <v>254</v>
      </c>
      <c r="AT93" s="125" t="s">
        <v>219</v>
      </c>
      <c r="AU93" s="125" t="s">
        <v>257</v>
      </c>
      <c r="AV93" s="125" t="s">
        <v>257</v>
      </c>
      <c r="AW93">
        <v>58</v>
      </c>
      <c r="AX93" s="125" t="s">
        <v>73</v>
      </c>
      <c r="AY93" s="125" t="s">
        <v>158</v>
      </c>
      <c r="AZ93" s="125" t="s">
        <v>158</v>
      </c>
      <c r="BA93" s="125" t="s">
        <v>158</v>
      </c>
      <c r="BB93"/>
      <c r="BC93"/>
    </row>
    <row r="94" spans="1:55" ht="16" x14ac:dyDescent="0.2">
      <c r="A94" s="125" t="s">
        <v>185</v>
      </c>
      <c r="B94" s="125" t="s">
        <v>203</v>
      </c>
      <c r="C94" s="125" t="s">
        <v>204</v>
      </c>
      <c r="D94" s="125" t="s">
        <v>73</v>
      </c>
      <c r="E94" s="125" t="s">
        <v>72</v>
      </c>
      <c r="F94" s="125" t="s">
        <v>72</v>
      </c>
      <c r="G94" s="125" t="s">
        <v>72</v>
      </c>
      <c r="H94" s="125" t="s">
        <v>72</v>
      </c>
      <c r="Q94">
        <v>0</v>
      </c>
      <c r="R94">
        <v>0</v>
      </c>
      <c r="S94">
        <v>0</v>
      </c>
      <c r="T94">
        <v>0</v>
      </c>
      <c r="U94" s="125" t="s">
        <v>73</v>
      </c>
      <c r="V94">
        <v>3</v>
      </c>
      <c r="W94">
        <v>14</v>
      </c>
      <c r="X94">
        <v>6</v>
      </c>
      <c r="Y94">
        <v>6</v>
      </c>
      <c r="Z94">
        <v>0</v>
      </c>
      <c r="AA94">
        <v>0</v>
      </c>
      <c r="AB94">
        <v>0</v>
      </c>
      <c r="AC94" s="125" t="s">
        <v>72</v>
      </c>
      <c r="AD94">
        <v>6</v>
      </c>
      <c r="AE94">
        <v>6</v>
      </c>
      <c r="AF94">
        <v>0</v>
      </c>
      <c r="AG94">
        <v>6</v>
      </c>
      <c r="AH94">
        <v>1</v>
      </c>
      <c r="AI94">
        <v>70</v>
      </c>
      <c r="AJ94">
        <v>10</v>
      </c>
      <c r="AK94" s="125" t="s">
        <v>73</v>
      </c>
      <c r="AL94" s="125" t="s">
        <v>73</v>
      </c>
      <c r="AM94" s="126" t="s">
        <v>73</v>
      </c>
      <c r="AN94" s="125" t="s">
        <v>247</v>
      </c>
      <c r="AO94" s="56">
        <v>46004.61959490741</v>
      </c>
      <c r="AP94" s="56">
        <v>46004.577928240738</v>
      </c>
      <c r="AQ94" s="125" t="s">
        <v>73</v>
      </c>
      <c r="AR94" s="125" t="s">
        <v>73</v>
      </c>
      <c r="AS94" s="125" t="s">
        <v>73</v>
      </c>
      <c r="AT94" s="125" t="s">
        <v>73</v>
      </c>
      <c r="AU94" s="125" t="s">
        <v>73</v>
      </c>
      <c r="AV94" s="125" t="s">
        <v>73</v>
      </c>
      <c r="AW94">
        <v>0</v>
      </c>
      <c r="AX94" s="125" t="s">
        <v>75</v>
      </c>
      <c r="AY94" s="125" t="s">
        <v>244</v>
      </c>
      <c r="AZ94" s="125" t="s">
        <v>245</v>
      </c>
      <c r="BA94" s="125" t="s">
        <v>246</v>
      </c>
      <c r="BB94"/>
      <c r="BC94"/>
    </row>
    <row r="95" spans="1:55" ht="16" x14ac:dyDescent="0.2">
      <c r="A95" s="125" t="s">
        <v>185</v>
      </c>
      <c r="B95" s="125" t="s">
        <v>232</v>
      </c>
      <c r="C95" s="125" t="s">
        <v>233</v>
      </c>
      <c r="D95" s="125" t="s">
        <v>72</v>
      </c>
      <c r="E95" s="125" t="s">
        <v>72</v>
      </c>
      <c r="F95" s="125" t="s">
        <v>73</v>
      </c>
      <c r="G95" s="125" t="s">
        <v>72</v>
      </c>
      <c r="H95" s="125" t="s">
        <v>72</v>
      </c>
      <c r="I95">
        <v>6</v>
      </c>
      <c r="Q95">
        <v>0</v>
      </c>
      <c r="R95">
        <v>0</v>
      </c>
      <c r="S95">
        <v>0</v>
      </c>
      <c r="T95">
        <v>0</v>
      </c>
      <c r="U95" s="125" t="s">
        <v>73</v>
      </c>
      <c r="V95">
        <v>5</v>
      </c>
      <c r="W95">
        <v>9</v>
      </c>
      <c r="X95">
        <v>2</v>
      </c>
      <c r="Y95">
        <v>2</v>
      </c>
      <c r="Z95">
        <v>0</v>
      </c>
      <c r="AA95">
        <v>0</v>
      </c>
      <c r="AB95">
        <v>0</v>
      </c>
      <c r="AC95" s="125" t="s">
        <v>73</v>
      </c>
      <c r="AD95">
        <v>0</v>
      </c>
      <c r="AE95">
        <v>0</v>
      </c>
      <c r="AF95">
        <v>0</v>
      </c>
      <c r="AG95">
        <v>0</v>
      </c>
      <c r="AH95">
        <v>0</v>
      </c>
      <c r="AI95">
        <v>60</v>
      </c>
      <c r="AJ95">
        <v>15</v>
      </c>
      <c r="AK95" s="125" t="s">
        <v>72</v>
      </c>
      <c r="AL95" s="125" t="s">
        <v>73</v>
      </c>
      <c r="AM95" s="126" t="s">
        <v>73</v>
      </c>
      <c r="AN95" s="125" t="s">
        <v>241</v>
      </c>
      <c r="AO95" s="56">
        <v>46003.902245370373</v>
      </c>
      <c r="AP95" s="56">
        <v>46003.860578703701</v>
      </c>
      <c r="AQ95" s="125" t="s">
        <v>73</v>
      </c>
      <c r="AR95" s="125" t="s">
        <v>73</v>
      </c>
      <c r="AS95" s="125" t="s">
        <v>73</v>
      </c>
      <c r="AT95" s="125" t="s">
        <v>73</v>
      </c>
      <c r="AU95" s="125" t="s">
        <v>73</v>
      </c>
      <c r="AV95" s="125" t="s">
        <v>73</v>
      </c>
      <c r="AW95">
        <v>0</v>
      </c>
      <c r="AX95" s="125" t="s">
        <v>75</v>
      </c>
      <c r="AY95" s="125" t="s">
        <v>235</v>
      </c>
      <c r="AZ95" s="125" t="s">
        <v>214</v>
      </c>
      <c r="BA95" s="125" t="s">
        <v>236</v>
      </c>
      <c r="BB95"/>
      <c r="BC95"/>
    </row>
    <row r="96" spans="1:55" ht="16" x14ac:dyDescent="0.2">
      <c r="A96" s="125" t="s">
        <v>185</v>
      </c>
      <c r="B96" s="125" t="s">
        <v>224</v>
      </c>
      <c r="C96" s="125" t="s">
        <v>225</v>
      </c>
      <c r="D96" s="125" t="s">
        <v>72</v>
      </c>
      <c r="E96" s="125" t="s">
        <v>72</v>
      </c>
      <c r="F96" s="125" t="s">
        <v>72</v>
      </c>
      <c r="G96" s="125" t="s">
        <v>73</v>
      </c>
      <c r="H96" s="125"/>
      <c r="I96">
        <v>14</v>
      </c>
      <c r="J96">
        <v>4</v>
      </c>
      <c r="L96">
        <v>2</v>
      </c>
      <c r="N96">
        <v>4</v>
      </c>
      <c r="O96">
        <v>3</v>
      </c>
      <c r="Q96">
        <v>6</v>
      </c>
      <c r="R96">
        <v>3</v>
      </c>
      <c r="S96">
        <v>3</v>
      </c>
      <c r="T96">
        <v>0</v>
      </c>
      <c r="U96" s="125" t="s">
        <v>73</v>
      </c>
      <c r="V96">
        <v>0</v>
      </c>
      <c r="W96">
        <v>0</v>
      </c>
      <c r="X96">
        <v>4</v>
      </c>
      <c r="Y96">
        <v>1</v>
      </c>
      <c r="Z96">
        <v>3</v>
      </c>
      <c r="AA96">
        <v>0</v>
      </c>
      <c r="AB96">
        <v>0</v>
      </c>
      <c r="AC96" s="125" t="s">
        <v>73</v>
      </c>
      <c r="AD96">
        <v>4</v>
      </c>
      <c r="AE96">
        <v>4</v>
      </c>
      <c r="AF96">
        <v>0</v>
      </c>
      <c r="AG96">
        <v>0</v>
      </c>
      <c r="AH96">
        <v>1</v>
      </c>
      <c r="AI96">
        <v>66</v>
      </c>
      <c r="AJ96">
        <v>8</v>
      </c>
      <c r="AK96" s="125" t="s">
        <v>72</v>
      </c>
      <c r="AL96" s="125" t="s">
        <v>73</v>
      </c>
      <c r="AM96" s="126" t="s">
        <v>73</v>
      </c>
      <c r="AN96" s="125" t="s">
        <v>242</v>
      </c>
      <c r="AO96" s="56">
        <v>46003.7893287037</v>
      </c>
      <c r="AP96" s="56">
        <v>46003.747662037036</v>
      </c>
      <c r="AQ96" s="125" t="s">
        <v>73</v>
      </c>
      <c r="AR96" s="125" t="s">
        <v>73</v>
      </c>
      <c r="AS96" s="125" t="s">
        <v>73</v>
      </c>
      <c r="AT96" s="125" t="s">
        <v>73</v>
      </c>
      <c r="AU96" s="125" t="s">
        <v>73</v>
      </c>
      <c r="AV96" s="125" t="s">
        <v>73</v>
      </c>
      <c r="AW96">
        <v>0</v>
      </c>
      <c r="AX96" s="125" t="s">
        <v>73</v>
      </c>
      <c r="AY96" s="125" t="s">
        <v>158</v>
      </c>
      <c r="AZ96" s="125" t="s">
        <v>158</v>
      </c>
      <c r="BA96" s="125" t="s">
        <v>158</v>
      </c>
      <c r="BB96"/>
      <c r="BC96"/>
    </row>
    <row r="97" spans="1:55" ht="16" x14ac:dyDescent="0.2">
      <c r="A97" s="125" t="s">
        <v>185</v>
      </c>
      <c r="B97" s="125" t="s">
        <v>216</v>
      </c>
      <c r="C97" s="125" t="s">
        <v>217</v>
      </c>
      <c r="D97" s="125" t="s">
        <v>72</v>
      </c>
      <c r="E97" s="125" t="s">
        <v>72</v>
      </c>
      <c r="F97" s="125" t="s">
        <v>73</v>
      </c>
      <c r="G97" s="125" t="s">
        <v>73</v>
      </c>
      <c r="H97" s="125"/>
      <c r="I97">
        <v>9</v>
      </c>
      <c r="L97">
        <v>3</v>
      </c>
      <c r="Q97">
        <v>0</v>
      </c>
      <c r="R97">
        <v>0</v>
      </c>
      <c r="S97">
        <v>0</v>
      </c>
      <c r="T97">
        <v>0</v>
      </c>
      <c r="U97" s="125" t="s">
        <v>73</v>
      </c>
      <c r="V97">
        <v>0</v>
      </c>
      <c r="W97">
        <v>0</v>
      </c>
      <c r="X97">
        <v>4</v>
      </c>
      <c r="Y97">
        <v>2</v>
      </c>
      <c r="Z97">
        <v>1</v>
      </c>
      <c r="AA97">
        <v>0</v>
      </c>
      <c r="AB97">
        <v>1</v>
      </c>
      <c r="AC97" s="125" t="s">
        <v>72</v>
      </c>
      <c r="AD97">
        <v>3</v>
      </c>
      <c r="AE97">
        <v>3</v>
      </c>
      <c r="AF97">
        <v>0</v>
      </c>
      <c r="AG97">
        <v>3</v>
      </c>
      <c r="AH97">
        <v>0</v>
      </c>
      <c r="AI97">
        <v>77</v>
      </c>
      <c r="AJ97">
        <v>12</v>
      </c>
      <c r="AK97" s="125" t="s">
        <v>73</v>
      </c>
      <c r="AL97" s="125" t="s">
        <v>73</v>
      </c>
      <c r="AM97" s="126" t="s">
        <v>73</v>
      </c>
      <c r="AN97" s="125" t="s">
        <v>230</v>
      </c>
      <c r="AO97" s="56">
        <v>46003.556469907409</v>
      </c>
      <c r="AP97" s="56">
        <v>46003.514803240738</v>
      </c>
      <c r="AQ97" s="125" t="s">
        <v>73</v>
      </c>
      <c r="AR97" s="125" t="s">
        <v>73</v>
      </c>
      <c r="AS97" s="125" t="s">
        <v>73</v>
      </c>
      <c r="AT97" s="125" t="s">
        <v>73</v>
      </c>
      <c r="AU97" s="125" t="s">
        <v>73</v>
      </c>
      <c r="AV97" s="125" t="s">
        <v>73</v>
      </c>
      <c r="AW97">
        <v>0</v>
      </c>
      <c r="AX97" s="125" t="s">
        <v>73</v>
      </c>
      <c r="AY97" s="125" t="s">
        <v>158</v>
      </c>
      <c r="AZ97" s="125" t="s">
        <v>158</v>
      </c>
      <c r="BA97" s="125" t="s">
        <v>158</v>
      </c>
      <c r="BB97"/>
      <c r="BC97"/>
    </row>
    <row r="98" spans="1:55" ht="16" x14ac:dyDescent="0.2">
      <c r="A98" s="125" t="s">
        <v>185</v>
      </c>
      <c r="B98" s="125" t="s">
        <v>209</v>
      </c>
      <c r="C98" s="125" t="s">
        <v>210</v>
      </c>
      <c r="D98" s="125" t="s">
        <v>73</v>
      </c>
      <c r="E98" s="125" t="s">
        <v>72</v>
      </c>
      <c r="F98" s="125" t="s">
        <v>72</v>
      </c>
      <c r="G98" s="125" t="s">
        <v>72</v>
      </c>
      <c r="H98" s="125" t="s">
        <v>72</v>
      </c>
      <c r="I98">
        <v>8</v>
      </c>
      <c r="J98">
        <v>4</v>
      </c>
      <c r="L98">
        <v>4</v>
      </c>
      <c r="N98">
        <v>4</v>
      </c>
      <c r="O98">
        <v>3</v>
      </c>
      <c r="Q98">
        <v>4</v>
      </c>
      <c r="R98">
        <v>1</v>
      </c>
      <c r="S98">
        <v>3</v>
      </c>
      <c r="T98">
        <v>0</v>
      </c>
      <c r="U98" s="125" t="s">
        <v>73</v>
      </c>
      <c r="V98">
        <v>7</v>
      </c>
      <c r="W98">
        <v>20</v>
      </c>
      <c r="X98">
        <v>11</v>
      </c>
      <c r="Y98">
        <v>9</v>
      </c>
      <c r="Z98">
        <v>1</v>
      </c>
      <c r="AA98">
        <v>0</v>
      </c>
      <c r="AB98">
        <v>1</v>
      </c>
      <c r="AC98" s="125" t="s">
        <v>73</v>
      </c>
      <c r="AD98">
        <v>6</v>
      </c>
      <c r="AE98">
        <v>0</v>
      </c>
      <c r="AF98">
        <v>0</v>
      </c>
      <c r="AG98">
        <v>6</v>
      </c>
      <c r="AH98">
        <v>1</v>
      </c>
      <c r="AI98">
        <v>85</v>
      </c>
      <c r="AJ98">
        <v>27</v>
      </c>
      <c r="AK98" s="125" t="s">
        <v>72</v>
      </c>
      <c r="AL98" s="125" t="s">
        <v>73</v>
      </c>
      <c r="AM98" s="126" t="s">
        <v>73</v>
      </c>
      <c r="AN98" s="125" t="s">
        <v>231</v>
      </c>
      <c r="AO98" s="56">
        <v>46002.965682870374</v>
      </c>
      <c r="AP98" s="56">
        <v>46018.817372685182</v>
      </c>
      <c r="AQ98" s="125" t="s">
        <v>73</v>
      </c>
      <c r="AR98" s="125" t="s">
        <v>73</v>
      </c>
      <c r="AS98" s="125" t="s">
        <v>73</v>
      </c>
      <c r="AT98" s="125" t="s">
        <v>73</v>
      </c>
      <c r="AU98" s="125" t="s">
        <v>73</v>
      </c>
      <c r="AV98" s="125" t="s">
        <v>73</v>
      </c>
      <c r="AW98">
        <v>0</v>
      </c>
      <c r="AX98" s="125" t="s">
        <v>75</v>
      </c>
      <c r="AY98" s="125" t="s">
        <v>423</v>
      </c>
      <c r="AZ98" s="125" t="s">
        <v>228</v>
      </c>
      <c r="BA98" s="125" t="s">
        <v>229</v>
      </c>
      <c r="BB98"/>
      <c r="BC98"/>
    </row>
    <row r="99" spans="1:55" ht="16" x14ac:dyDescent="0.2">
      <c r="A99" s="125" t="s">
        <v>185</v>
      </c>
      <c r="B99" s="125" t="s">
        <v>188</v>
      </c>
      <c r="C99" s="125" t="s">
        <v>189</v>
      </c>
      <c r="D99" s="125" t="s">
        <v>73</v>
      </c>
      <c r="E99" s="125" t="s">
        <v>72</v>
      </c>
      <c r="F99" s="125" t="s">
        <v>73</v>
      </c>
      <c r="G99" s="125" t="s">
        <v>73</v>
      </c>
      <c r="H99" s="125"/>
      <c r="I99">
        <v>6</v>
      </c>
      <c r="Q99">
        <v>0</v>
      </c>
      <c r="R99">
        <v>0</v>
      </c>
      <c r="S99">
        <v>0</v>
      </c>
      <c r="T99">
        <v>0</v>
      </c>
      <c r="U99" s="125" t="s">
        <v>73</v>
      </c>
      <c r="V99">
        <v>0</v>
      </c>
      <c r="W99">
        <v>0</v>
      </c>
      <c r="X99">
        <v>0</v>
      </c>
      <c r="Y99">
        <v>0</v>
      </c>
      <c r="Z99">
        <v>0</v>
      </c>
      <c r="AA99">
        <v>0</v>
      </c>
      <c r="AB99">
        <v>0</v>
      </c>
      <c r="AC99" s="125" t="s">
        <v>73</v>
      </c>
      <c r="AD99">
        <v>0</v>
      </c>
      <c r="AE99">
        <v>0</v>
      </c>
      <c r="AF99">
        <v>0</v>
      </c>
      <c r="AG99">
        <v>0</v>
      </c>
      <c r="AH99">
        <v>0</v>
      </c>
      <c r="AI99">
        <v>10</v>
      </c>
      <c r="AJ99">
        <v>0</v>
      </c>
      <c r="AK99" s="125" t="s">
        <v>73</v>
      </c>
      <c r="AL99" s="125" t="s">
        <v>73</v>
      </c>
      <c r="AM99" s="126" t="s">
        <v>73</v>
      </c>
      <c r="AN99" s="125" t="s">
        <v>196</v>
      </c>
      <c r="AO99" s="56">
        <v>46000.698564814818</v>
      </c>
      <c r="AP99" s="56">
        <v>46000.656898148147</v>
      </c>
      <c r="AQ99" s="125" t="s">
        <v>73</v>
      </c>
      <c r="AR99" s="125" t="s">
        <v>73</v>
      </c>
      <c r="AS99" s="125" t="s">
        <v>73</v>
      </c>
      <c r="AT99" s="125" t="s">
        <v>73</v>
      </c>
      <c r="AU99" s="125" t="s">
        <v>73</v>
      </c>
      <c r="AV99" s="125" t="s">
        <v>73</v>
      </c>
      <c r="AW99">
        <v>0</v>
      </c>
      <c r="AX99" s="125" t="s">
        <v>73</v>
      </c>
      <c r="AY99" s="125" t="s">
        <v>158</v>
      </c>
      <c r="AZ99" s="125" t="s">
        <v>158</v>
      </c>
      <c r="BA99" s="125" t="s">
        <v>158</v>
      </c>
      <c r="BB99"/>
      <c r="BC99"/>
    </row>
    <row r="100" spans="1:55" ht="16" x14ac:dyDescent="0.2">
      <c r="A100" s="125" t="s">
        <v>185</v>
      </c>
      <c r="B100" s="125" t="s">
        <v>192</v>
      </c>
      <c r="C100" s="125" t="s">
        <v>193</v>
      </c>
      <c r="D100" s="125" t="s">
        <v>73</v>
      </c>
      <c r="E100" s="125" t="s">
        <v>72</v>
      </c>
      <c r="F100" s="125" t="s">
        <v>72</v>
      </c>
      <c r="G100" s="125" t="s">
        <v>73</v>
      </c>
      <c r="H100" s="125"/>
      <c r="J100">
        <v>8</v>
      </c>
      <c r="Q100">
        <v>0</v>
      </c>
      <c r="R100">
        <v>0</v>
      </c>
      <c r="S100">
        <v>0</v>
      </c>
      <c r="T100">
        <v>0</v>
      </c>
      <c r="U100" s="125" t="s">
        <v>73</v>
      </c>
      <c r="V100">
        <v>0</v>
      </c>
      <c r="W100">
        <v>0</v>
      </c>
      <c r="X100">
        <v>0</v>
      </c>
      <c r="Y100">
        <v>0</v>
      </c>
      <c r="Z100">
        <v>0</v>
      </c>
      <c r="AA100">
        <v>0</v>
      </c>
      <c r="AB100">
        <v>0</v>
      </c>
      <c r="AC100" s="125" t="s">
        <v>73</v>
      </c>
      <c r="AD100">
        <v>4</v>
      </c>
      <c r="AE100">
        <v>0</v>
      </c>
      <c r="AF100">
        <v>0</v>
      </c>
      <c r="AG100">
        <v>0</v>
      </c>
      <c r="AH100">
        <v>0</v>
      </c>
      <c r="AI100">
        <v>20</v>
      </c>
      <c r="AJ100">
        <v>6</v>
      </c>
      <c r="AK100" s="125" t="s">
        <v>73</v>
      </c>
      <c r="AL100" s="125" t="s">
        <v>73</v>
      </c>
      <c r="AM100" s="126" t="s">
        <v>73</v>
      </c>
      <c r="AN100" s="125" t="s">
        <v>197</v>
      </c>
      <c r="AO100" s="56">
        <v>45999.859965277778</v>
      </c>
      <c r="AP100" s="56">
        <v>45999.818298611113</v>
      </c>
      <c r="AQ100" s="125" t="s">
        <v>73</v>
      </c>
      <c r="AR100" s="125" t="s">
        <v>73</v>
      </c>
      <c r="AS100" s="125" t="s">
        <v>73</v>
      </c>
      <c r="AT100" s="125" t="s">
        <v>73</v>
      </c>
      <c r="AU100" s="125" t="s">
        <v>73</v>
      </c>
      <c r="AV100" s="125" t="s">
        <v>73</v>
      </c>
      <c r="AW100">
        <v>0</v>
      </c>
      <c r="AX100" s="125" t="s">
        <v>73</v>
      </c>
      <c r="AY100" s="125" t="s">
        <v>158</v>
      </c>
      <c r="AZ100" s="125" t="s">
        <v>158</v>
      </c>
      <c r="BA100" s="125" t="s">
        <v>158</v>
      </c>
      <c r="BB100"/>
      <c r="BC100"/>
    </row>
    <row r="101" spans="1:55" ht="160" x14ac:dyDescent="0.2">
      <c r="A101" s="125" t="s">
        <v>185</v>
      </c>
      <c r="B101" s="125" t="s">
        <v>165</v>
      </c>
      <c r="C101" s="125" t="s">
        <v>166</v>
      </c>
      <c r="D101" s="125" t="s">
        <v>72</v>
      </c>
      <c r="E101" s="125" t="s">
        <v>73</v>
      </c>
      <c r="F101" s="125" t="s">
        <v>72</v>
      </c>
      <c r="G101" s="125" t="s">
        <v>73</v>
      </c>
      <c r="H101" s="125"/>
      <c r="I101">
        <v>4</v>
      </c>
      <c r="Q101">
        <v>0</v>
      </c>
      <c r="R101">
        <v>0</v>
      </c>
      <c r="S101">
        <v>0</v>
      </c>
      <c r="T101">
        <v>0</v>
      </c>
      <c r="U101" s="125" t="s">
        <v>73</v>
      </c>
      <c r="V101">
        <v>0</v>
      </c>
      <c r="W101">
        <v>0</v>
      </c>
      <c r="X101">
        <v>0</v>
      </c>
      <c r="Y101">
        <v>0</v>
      </c>
      <c r="Z101">
        <v>0</v>
      </c>
      <c r="AA101">
        <v>0</v>
      </c>
      <c r="AB101">
        <v>0</v>
      </c>
      <c r="AC101" s="125" t="s">
        <v>73</v>
      </c>
      <c r="AD101">
        <v>6</v>
      </c>
      <c r="AE101">
        <v>6</v>
      </c>
      <c r="AF101">
        <v>0</v>
      </c>
      <c r="AG101">
        <v>0</v>
      </c>
      <c r="AH101">
        <v>0</v>
      </c>
      <c r="AI101">
        <v>10</v>
      </c>
      <c r="AJ101">
        <v>2</v>
      </c>
      <c r="AK101" s="125" t="s">
        <v>73</v>
      </c>
      <c r="AL101" s="125" t="s">
        <v>73</v>
      </c>
      <c r="AM101" s="126" t="s">
        <v>243</v>
      </c>
      <c r="AN101" s="125" t="s">
        <v>198</v>
      </c>
      <c r="AO101" s="56">
        <v>45999.830659722225</v>
      </c>
      <c r="AP101" s="56">
        <v>46004.502511574072</v>
      </c>
      <c r="AQ101" s="125" t="s">
        <v>73</v>
      </c>
      <c r="AR101" s="125" t="s">
        <v>73</v>
      </c>
      <c r="AS101" s="125" t="s">
        <v>73</v>
      </c>
      <c r="AT101" s="125" t="s">
        <v>73</v>
      </c>
      <c r="AU101" s="125" t="s">
        <v>73</v>
      </c>
      <c r="AV101" s="125" t="s">
        <v>73</v>
      </c>
      <c r="AW101">
        <v>0</v>
      </c>
      <c r="AX101" s="125" t="s">
        <v>73</v>
      </c>
      <c r="AY101" s="125" t="s">
        <v>158</v>
      </c>
      <c r="AZ101" s="125" t="s">
        <v>158</v>
      </c>
      <c r="BA101" s="125" t="s">
        <v>158</v>
      </c>
      <c r="BB101"/>
      <c r="BC101"/>
    </row>
    <row r="102" spans="1:55" ht="16" x14ac:dyDescent="0.2">
      <c r="A102" s="125" t="s">
        <v>185</v>
      </c>
      <c r="B102" s="125" t="s">
        <v>176</v>
      </c>
      <c r="C102" s="125" t="s">
        <v>177</v>
      </c>
      <c r="D102" s="125" t="s">
        <v>73</v>
      </c>
      <c r="E102" s="125" t="s">
        <v>72</v>
      </c>
      <c r="F102" s="125" t="s">
        <v>72</v>
      </c>
      <c r="G102" s="125" t="s">
        <v>73</v>
      </c>
      <c r="H102" s="125"/>
      <c r="I102">
        <v>4</v>
      </c>
      <c r="Q102">
        <v>0</v>
      </c>
      <c r="R102">
        <v>0</v>
      </c>
      <c r="S102">
        <v>0</v>
      </c>
      <c r="T102">
        <v>0</v>
      </c>
      <c r="U102" s="125" t="s">
        <v>73</v>
      </c>
      <c r="V102">
        <v>0</v>
      </c>
      <c r="W102">
        <v>0</v>
      </c>
      <c r="X102">
        <v>0</v>
      </c>
      <c r="Y102">
        <v>0</v>
      </c>
      <c r="Z102">
        <v>0</v>
      </c>
      <c r="AA102">
        <v>0</v>
      </c>
      <c r="AB102">
        <v>0</v>
      </c>
      <c r="AC102" s="125" t="s">
        <v>73</v>
      </c>
      <c r="AD102">
        <v>6</v>
      </c>
      <c r="AE102">
        <v>6</v>
      </c>
      <c r="AF102">
        <v>0</v>
      </c>
      <c r="AG102">
        <v>6</v>
      </c>
      <c r="AH102">
        <v>0</v>
      </c>
      <c r="AI102">
        <v>40</v>
      </c>
      <c r="AJ102">
        <v>12</v>
      </c>
      <c r="AK102" s="125" t="s">
        <v>72</v>
      </c>
      <c r="AL102" s="125" t="s">
        <v>73</v>
      </c>
      <c r="AM102" s="126" t="s">
        <v>73</v>
      </c>
      <c r="AN102" s="125" t="s">
        <v>186</v>
      </c>
      <c r="AO102" s="56">
        <v>45998.959953703707</v>
      </c>
      <c r="AP102" s="56">
        <v>46006.886087962965</v>
      </c>
      <c r="AQ102" s="125" t="s">
        <v>73</v>
      </c>
      <c r="AR102" s="125" t="s">
        <v>73</v>
      </c>
      <c r="AS102" s="125" t="s">
        <v>73</v>
      </c>
      <c r="AT102" s="125" t="s">
        <v>73</v>
      </c>
      <c r="AU102" s="125" t="s">
        <v>73</v>
      </c>
      <c r="AV102" s="125" t="s">
        <v>73</v>
      </c>
      <c r="AW102">
        <v>0</v>
      </c>
      <c r="AX102" s="125" t="s">
        <v>73</v>
      </c>
      <c r="AY102" s="125" t="s">
        <v>158</v>
      </c>
      <c r="AZ102" s="125" t="s">
        <v>158</v>
      </c>
      <c r="BA102" s="125" t="s">
        <v>158</v>
      </c>
      <c r="BB102"/>
      <c r="BC102"/>
    </row>
    <row r="103" spans="1:55" ht="16" x14ac:dyDescent="0.2">
      <c r="A103" s="125" t="s">
        <v>185</v>
      </c>
      <c r="B103" s="125" t="s">
        <v>182</v>
      </c>
      <c r="C103" s="125" t="s">
        <v>183</v>
      </c>
      <c r="D103" s="125" t="s">
        <v>73</v>
      </c>
      <c r="E103" s="125" t="s">
        <v>72</v>
      </c>
      <c r="F103" s="125" t="s">
        <v>72</v>
      </c>
      <c r="G103" s="125" t="s">
        <v>73</v>
      </c>
      <c r="H103" s="125"/>
      <c r="I103">
        <v>8</v>
      </c>
      <c r="J103">
        <v>3</v>
      </c>
      <c r="Q103">
        <v>0</v>
      </c>
      <c r="R103">
        <v>0</v>
      </c>
      <c r="S103">
        <v>0</v>
      </c>
      <c r="T103">
        <v>0</v>
      </c>
      <c r="U103" s="125" t="s">
        <v>73</v>
      </c>
      <c r="V103">
        <v>0</v>
      </c>
      <c r="W103">
        <v>0</v>
      </c>
      <c r="X103">
        <v>0</v>
      </c>
      <c r="Y103">
        <v>0</v>
      </c>
      <c r="Z103">
        <v>0</v>
      </c>
      <c r="AA103">
        <v>0</v>
      </c>
      <c r="AB103">
        <v>0</v>
      </c>
      <c r="AC103" s="125" t="s">
        <v>72</v>
      </c>
      <c r="AD103">
        <v>0</v>
      </c>
      <c r="AE103">
        <v>0</v>
      </c>
      <c r="AF103">
        <v>0</v>
      </c>
      <c r="AG103">
        <v>0</v>
      </c>
      <c r="AH103">
        <v>1</v>
      </c>
      <c r="AI103">
        <v>35</v>
      </c>
      <c r="AJ103">
        <v>4</v>
      </c>
      <c r="AK103" s="125" t="s">
        <v>73</v>
      </c>
      <c r="AL103" s="125" t="s">
        <v>73</v>
      </c>
      <c r="AM103" s="126" t="s">
        <v>73</v>
      </c>
      <c r="AN103" s="125" t="s">
        <v>187</v>
      </c>
      <c r="AO103" s="56">
        <v>45998.524965277778</v>
      </c>
      <c r="AP103" s="56">
        <v>45998.483298611114</v>
      </c>
      <c r="AQ103" s="125" t="s">
        <v>73</v>
      </c>
      <c r="AR103" s="125" t="s">
        <v>73</v>
      </c>
      <c r="AS103" s="125" t="s">
        <v>73</v>
      </c>
      <c r="AT103" s="125" t="s">
        <v>73</v>
      </c>
      <c r="AU103" s="125" t="s">
        <v>73</v>
      </c>
      <c r="AV103" s="125" t="s">
        <v>73</v>
      </c>
      <c r="AW103">
        <v>0</v>
      </c>
      <c r="AX103" s="125" t="s">
        <v>73</v>
      </c>
      <c r="AY103" s="125" t="s">
        <v>158</v>
      </c>
      <c r="AZ103" s="125" t="s">
        <v>158</v>
      </c>
      <c r="BA103" s="125" t="s">
        <v>158</v>
      </c>
      <c r="BB103"/>
      <c r="BC103"/>
    </row>
    <row r="104" spans="1:55" x14ac:dyDescent="0.2">
      <c r="A104" t="s">
        <v>79</v>
      </c>
      <c r="C104">
        <f>SUBTOTAL(103,Kringdagen_[Naam vereniging])</f>
        <v>97</v>
      </c>
      <c r="D104" s="1">
        <f>COUNTIF(Kringdagen_[Delegatie],"x")</f>
        <v>18</v>
      </c>
      <c r="E104" s="1">
        <f>COUNTIF(Kringdagen_[Muziekkorps tijdens mars en defilé],"x")</f>
        <v>89</v>
      </c>
      <c r="F104" s="1">
        <f>COUNTIF(Kringdagen_[Deelname jeugdkoningschieten],"x")</f>
        <v>68</v>
      </c>
      <c r="G104" s="7">
        <f>COUNTIF(Kringdagen_[Maj. Senioren jureren bij mars],"x")</f>
        <v>12</v>
      </c>
      <c r="H104" s="7">
        <f>COUNTIF(Kringdagen_[Maj. Jeugd jureren bij mars],"x")</f>
        <v>12</v>
      </c>
      <c r="I104" s="1">
        <f>SUBTOTAL(109,Kringdagen_[Korps senioren])</f>
        <v>540</v>
      </c>
      <c r="J104" s="1">
        <f>SUBTOTAL(109,Kringdagen_[Junioren korps 1])</f>
        <v>170</v>
      </c>
      <c r="K104" s="1">
        <f>SUBTOTAL(109,Kringdagen_[Junioren korps 2])</f>
        <v>0</v>
      </c>
      <c r="L104" s="1">
        <f>SUBTOTAL(109,Kringdagen_[Aspiranten korps 1])</f>
        <v>111</v>
      </c>
      <c r="M104" s="1">
        <f>SUBTOTAL(109,Kringdagen_[Aspiranten korps 2])</f>
        <v>0</v>
      </c>
      <c r="N104" s="1">
        <f>SUBTOTAL(109,Kringdagen_[Acrobatisch senioren])</f>
        <v>97</v>
      </c>
      <c r="O104" s="1">
        <f>SUBTOTAL(109,Kringdagen_[Acrobatisch junioren])</f>
        <v>17</v>
      </c>
      <c r="P104" s="1">
        <f>SUBTOTAL(109,Kringdagen_[Acrobatisch aspiranten])</f>
        <v>0</v>
      </c>
      <c r="Q104">
        <f>SUBTOTAL(109,Kringdagen_[Opgeven vendeliers ind.])</f>
        <v>61</v>
      </c>
      <c r="R104">
        <f>SUBTOTAL(109,Kringdagen_[Acrob. senioren indiv.])</f>
        <v>30</v>
      </c>
      <c r="S104">
        <f>SUBTOTAL(109,Kringdagen_[Acrob. junioren indiv.])</f>
        <v>23</v>
      </c>
      <c r="T104">
        <f>SUBTOTAL(109,Kringdagen_[Acrob. aspiranten indiv.])</f>
        <v>8</v>
      </c>
      <c r="U104" s="7">
        <f>COUNTIF(Kringdagen_[Deelname hoofdkorps],"x")</f>
        <v>13</v>
      </c>
      <c r="V104" s="1">
        <f>SUBTOTAL(109,Kringdagen_[Groepen, teams, ensembles en duo''s])</f>
        <v>78</v>
      </c>
      <c r="W104" s="1">
        <f>SUBTOTAL(109,Kringdagen_[Aantal opgegeven majorettes])</f>
        <v>235</v>
      </c>
      <c r="X104">
        <f>SUBTOTAL(109,Kringdagen_[Opgeven bielemannen])</f>
        <v>189</v>
      </c>
      <c r="Y104" s="1">
        <f>SUBTOTAL(109,Kringdagen_[Senioren])</f>
        <v>142</v>
      </c>
      <c r="Z104" s="1">
        <f>SUBTOTAL(109,Kringdagen_[Jong Volwassene])</f>
        <v>29</v>
      </c>
      <c r="AA104" s="1">
        <f>SUBTOTAL(109,Kringdagen_[Junioren])</f>
        <v>4</v>
      </c>
      <c r="AB104" s="1">
        <f>SUBTOTAL(109,Kringdagen_[Aspiranten])</f>
        <v>14</v>
      </c>
      <c r="AC104" s="7">
        <f>COUNTIF(Kringdagen_[Deelname marketentsters],"x")</f>
        <v>18</v>
      </c>
      <c r="AD104">
        <f>SUBTOTAL(109,Kringdagen_[Aantal luchtgeweerschutters])</f>
        <v>278</v>
      </c>
      <c r="AE104" s="1">
        <f>SUBTOTAL(109,Kringdagen_[Aantal luchtpistoolschutters])</f>
        <v>225</v>
      </c>
      <c r="AF104">
        <f>SUBTOTAL(109,Kringdagen_[Aantal handboogschutters])</f>
        <v>19</v>
      </c>
      <c r="AG104" s="1">
        <f>SUBTOTAL(109,Kringdagen_[Aantal kruisboogschutters])</f>
        <v>212</v>
      </c>
      <c r="AH104">
        <f>SUBTOTAL(109,Kringdagen_[(Aantal jeugdkorpsen])</f>
        <v>42</v>
      </c>
      <c r="AI104" s="1">
        <f>SUBTOTAL(109,Kringdagen_[Totaal aantal deelnemers])</f>
        <v>4803</v>
      </c>
      <c r="AJ104" s="1">
        <f>SUBTOTAL(109,Kringdagen_[Waarvan aantal jeugd (t/m 15 jaar)])</f>
        <v>922</v>
      </c>
      <c r="AK104" s="55">
        <f>COUNTIF(Kringdagen_[Kanon etc.],"x")</f>
        <v>29</v>
      </c>
      <c r="AL104" s="1">
        <f>COUNTIF(Kringdagen_[Paarden en/of koetsen],"x")</f>
        <v>10</v>
      </c>
      <c r="AM104" s="44"/>
      <c r="AN104" s="1"/>
      <c r="AO104" s="1"/>
      <c r="AP104" s="1"/>
      <c r="AQ104" s="1"/>
      <c r="AR104" s="1"/>
      <c r="AS104" s="1"/>
      <c r="AT104" s="1"/>
      <c r="AU104" s="1"/>
      <c r="AV104" s="1"/>
      <c r="AW104" s="1">
        <f>SUBTOTAL(109,Kringdagen_[Korps bestaat uit ... deelnemers (hoofdkorps)])</f>
        <v>399</v>
      </c>
      <c r="AY104" s="1"/>
      <c r="AZ104" s="1"/>
      <c r="BA104" s="1"/>
      <c r="BB104"/>
      <c r="BC104"/>
    </row>
    <row r="105" spans="1:55" x14ac:dyDescent="0.2">
      <c r="BB105"/>
      <c r="BC105"/>
    </row>
    <row r="106" spans="1:55" x14ac:dyDescent="0.2">
      <c r="BC106"/>
    </row>
    <row r="107" spans="1:55" x14ac:dyDescent="0.2">
      <c r="BC107"/>
    </row>
    <row r="108" spans="1:55" x14ac:dyDescent="0.2">
      <c r="BC108"/>
    </row>
  </sheetData>
  <mergeCells count="11">
    <mergeCell ref="AR3:AW4"/>
    <mergeCell ref="AX3:BA4"/>
    <mergeCell ref="N4:P4"/>
    <mergeCell ref="D3:H4"/>
    <mergeCell ref="J3:T3"/>
    <mergeCell ref="X3:AB4"/>
    <mergeCell ref="I4:M4"/>
    <mergeCell ref="Q4:T4"/>
    <mergeCell ref="AC3:AC4"/>
    <mergeCell ref="AD3:AH4"/>
    <mergeCell ref="AI3:AQ4"/>
  </mergeCells>
  <phoneticPr fontId="2" type="noConversion"/>
  <pageMargins left="0.7" right="0.7" top="0.75" bottom="0.75" header="0.3" footer="0.3"/>
  <pageSetup paperSize="9" orientation="landscape" horizont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B857-9D6B-40E6-B1B5-B048A8634108}">
  <dimension ref="A1:BA21"/>
  <sheetViews>
    <sheetView topLeftCell="C1" zoomScale="110" zoomScaleNormal="110" workbookViewId="0">
      <selection activeCell="AM10" sqref="AM10"/>
    </sheetView>
  </sheetViews>
  <sheetFormatPr baseColWidth="10" defaultColWidth="9.1640625" defaultRowHeight="15" x14ac:dyDescent="0.2"/>
  <cols>
    <col min="1" max="1" width="11" bestFit="1" customWidth="1"/>
    <col min="2" max="2" width="9.1640625" bestFit="1" customWidth="1"/>
    <col min="3" max="3" width="35" style="47" bestFit="1" customWidth="1"/>
    <col min="4" max="6" width="3.6640625" style="1" bestFit="1" customWidth="1"/>
    <col min="7" max="7" width="5.5" style="1" bestFit="1" customWidth="1"/>
    <col min="8" max="34" width="3.6640625" style="1" bestFit="1" customWidth="1"/>
    <col min="35" max="36" width="4.1640625" style="1" bestFit="1" customWidth="1"/>
    <col min="37" max="38" width="3.6640625" style="1" bestFit="1" customWidth="1"/>
    <col min="39" max="39" width="80.33203125" style="44" bestFit="1" customWidth="1"/>
    <col min="40" max="40" width="5.1640625" style="1" bestFit="1" customWidth="1"/>
    <col min="41" max="42" width="15" style="1" bestFit="1" customWidth="1"/>
    <col min="43" max="43" width="3.6640625" style="1" bestFit="1" customWidth="1"/>
    <col min="44" max="44" width="3.6640625" style="42" bestFit="1" customWidth="1"/>
    <col min="45" max="48" width="3.6640625" bestFit="1" customWidth="1"/>
    <col min="49" max="49" width="3.6640625" style="44" bestFit="1" customWidth="1"/>
    <col min="50" max="50" width="4.1640625" style="1" bestFit="1" customWidth="1"/>
    <col min="51" max="51" width="41.6640625" style="24" bestFit="1" customWidth="1"/>
    <col min="52" max="52" width="43" bestFit="1" customWidth="1"/>
    <col min="53" max="53" width="37" bestFit="1" customWidth="1"/>
  </cols>
  <sheetData>
    <row r="1" spans="1:53" ht="27" customHeight="1" x14ac:dyDescent="0.2">
      <c r="A1" s="106" t="s">
        <v>80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row>
    <row r="2" spans="1:53" ht="20" thickBot="1" x14ac:dyDescent="0.3">
      <c r="A2" s="107" t="s">
        <v>175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row>
    <row r="3" spans="1:53" ht="16" thickBot="1" x14ac:dyDescent="0.25">
      <c r="C3" s="62"/>
      <c r="T3" s="53"/>
      <c r="U3" s="53"/>
      <c r="AA3" s="66"/>
      <c r="AR3" s="1"/>
      <c r="AS3" s="1"/>
      <c r="AT3" s="1"/>
      <c r="AU3" s="1"/>
      <c r="AV3" s="1"/>
      <c r="AW3" s="1"/>
      <c r="AY3" s="1"/>
      <c r="AZ3" s="1"/>
      <c r="BA3" s="44"/>
    </row>
    <row r="4" spans="1:53" ht="33" customHeight="1" thickBot="1" x14ac:dyDescent="0.25">
      <c r="A4" s="67"/>
      <c r="B4" s="68"/>
      <c r="C4" s="69"/>
      <c r="D4" s="93" t="s">
        <v>1</v>
      </c>
      <c r="E4" s="94"/>
      <c r="F4" s="94"/>
      <c r="G4" s="94"/>
      <c r="H4" s="95"/>
      <c r="I4" s="72"/>
      <c r="J4" s="100" t="s">
        <v>2</v>
      </c>
      <c r="K4" s="100"/>
      <c r="L4" s="100"/>
      <c r="M4" s="100"/>
      <c r="N4" s="100"/>
      <c r="O4" s="100"/>
      <c r="P4" s="100"/>
      <c r="Q4" s="100"/>
      <c r="R4" s="100"/>
      <c r="S4" s="100"/>
      <c r="T4" s="101"/>
      <c r="U4" s="17" t="s">
        <v>3</v>
      </c>
      <c r="V4" s="11" t="s">
        <v>150</v>
      </c>
      <c r="W4" s="13"/>
      <c r="X4" s="93" t="s">
        <v>5</v>
      </c>
      <c r="Y4" s="94"/>
      <c r="Z4" s="94"/>
      <c r="AA4" s="94"/>
      <c r="AB4" s="95"/>
      <c r="AC4" s="104" t="s">
        <v>151</v>
      </c>
      <c r="AD4" s="93" t="s">
        <v>7</v>
      </c>
      <c r="AE4" s="94"/>
      <c r="AF4" s="94"/>
      <c r="AG4" s="94"/>
      <c r="AH4" s="95"/>
      <c r="AI4" s="93" t="s">
        <v>8</v>
      </c>
      <c r="AJ4" s="94"/>
      <c r="AK4" s="94"/>
      <c r="AL4" s="94"/>
      <c r="AM4" s="94"/>
      <c r="AN4" s="94"/>
      <c r="AO4" s="94"/>
      <c r="AP4" s="94"/>
      <c r="AQ4" s="95"/>
      <c r="AR4" s="87" t="s">
        <v>9</v>
      </c>
      <c r="AS4" s="88"/>
      <c r="AT4" s="88"/>
      <c r="AU4" s="88"/>
      <c r="AV4" s="88"/>
      <c r="AW4" s="89"/>
      <c r="AX4" s="93" t="s">
        <v>152</v>
      </c>
      <c r="AY4" s="94"/>
      <c r="AZ4" s="94"/>
      <c r="BA4" s="95"/>
    </row>
    <row r="5" spans="1:53" ht="16" thickBot="1" x14ac:dyDescent="0.25">
      <c r="A5" s="70"/>
      <c r="B5" s="71"/>
      <c r="C5" s="61"/>
      <c r="D5" s="96"/>
      <c r="E5" s="97"/>
      <c r="F5" s="97"/>
      <c r="G5" s="97"/>
      <c r="H5" s="98"/>
      <c r="I5" s="99" t="s">
        <v>11</v>
      </c>
      <c r="J5" s="102"/>
      <c r="K5" s="102"/>
      <c r="L5" s="102"/>
      <c r="M5" s="103"/>
      <c r="N5" s="99" t="s">
        <v>87</v>
      </c>
      <c r="O5" s="100"/>
      <c r="P5" s="101"/>
      <c r="Q5" s="99" t="s">
        <v>14</v>
      </c>
      <c r="R5" s="100"/>
      <c r="S5" s="100"/>
      <c r="T5" s="100"/>
      <c r="U5" s="18"/>
      <c r="V5" s="14"/>
      <c r="W5" s="16"/>
      <c r="X5" s="96"/>
      <c r="Y5" s="97"/>
      <c r="Z5" s="97"/>
      <c r="AA5" s="97"/>
      <c r="AB5" s="98"/>
      <c r="AC5" s="105"/>
      <c r="AD5" s="96"/>
      <c r="AE5" s="97"/>
      <c r="AF5" s="97"/>
      <c r="AG5" s="97"/>
      <c r="AH5" s="98"/>
      <c r="AI5" s="96"/>
      <c r="AJ5" s="97"/>
      <c r="AK5" s="97"/>
      <c r="AL5" s="97"/>
      <c r="AM5" s="97"/>
      <c r="AN5" s="97"/>
      <c r="AO5" s="97"/>
      <c r="AP5" s="97"/>
      <c r="AQ5" s="98"/>
      <c r="AR5" s="90"/>
      <c r="AS5" s="91"/>
      <c r="AT5" s="91"/>
      <c r="AU5" s="91"/>
      <c r="AV5" s="91"/>
      <c r="AW5" s="92"/>
      <c r="AX5" s="96"/>
      <c r="AY5" s="97"/>
      <c r="AZ5" s="97"/>
      <c r="BA5" s="98"/>
    </row>
    <row r="6" spans="1:53" s="74" customFormat="1" ht="278" thickBot="1" x14ac:dyDescent="0.25">
      <c r="A6" s="73" t="s">
        <v>17</v>
      </c>
      <c r="B6" s="73" t="s">
        <v>149</v>
      </c>
      <c r="C6" s="73" t="s">
        <v>19</v>
      </c>
      <c r="D6" s="77" t="s">
        <v>20</v>
      </c>
      <c r="E6" s="78" t="s">
        <v>141</v>
      </c>
      <c r="F6" s="78" t="s">
        <v>142</v>
      </c>
      <c r="G6" s="78" t="s">
        <v>23</v>
      </c>
      <c r="H6" s="79" t="s">
        <v>24</v>
      </c>
      <c r="I6" s="77" t="s">
        <v>25</v>
      </c>
      <c r="J6" s="78" t="s">
        <v>121</v>
      </c>
      <c r="K6" s="78" t="s">
        <v>122</v>
      </c>
      <c r="L6" s="78" t="s">
        <v>123</v>
      </c>
      <c r="M6" s="78" t="s">
        <v>124</v>
      </c>
      <c r="N6" s="78" t="s">
        <v>26</v>
      </c>
      <c r="O6" s="78" t="s">
        <v>27</v>
      </c>
      <c r="P6" s="78" t="s">
        <v>28</v>
      </c>
      <c r="Q6" s="78" t="s">
        <v>146</v>
      </c>
      <c r="R6" s="78" t="s">
        <v>133</v>
      </c>
      <c r="S6" s="78" t="s">
        <v>134</v>
      </c>
      <c r="T6" s="79" t="s">
        <v>135</v>
      </c>
      <c r="U6" s="80" t="s">
        <v>144</v>
      </c>
      <c r="V6" s="77" t="s">
        <v>105</v>
      </c>
      <c r="W6" s="79" t="s">
        <v>71</v>
      </c>
      <c r="X6" s="77" t="s">
        <v>147</v>
      </c>
      <c r="Y6" s="78" t="s">
        <v>38</v>
      </c>
      <c r="Z6" s="78" t="s">
        <v>140</v>
      </c>
      <c r="AA6" s="78" t="s">
        <v>39</v>
      </c>
      <c r="AB6" s="79" t="s">
        <v>40</v>
      </c>
      <c r="AC6" s="80" t="s">
        <v>143</v>
      </c>
      <c r="AD6" s="77" t="s">
        <v>117</v>
      </c>
      <c r="AE6" s="78" t="s">
        <v>118</v>
      </c>
      <c r="AF6" s="78" t="s">
        <v>119</v>
      </c>
      <c r="AG6" s="78" t="s">
        <v>120</v>
      </c>
      <c r="AH6" s="79" t="s">
        <v>148</v>
      </c>
      <c r="AI6" s="81" t="s">
        <v>46</v>
      </c>
      <c r="AJ6" s="78" t="s">
        <v>47</v>
      </c>
      <c r="AK6" s="78" t="s">
        <v>48</v>
      </c>
      <c r="AL6" s="78" t="s">
        <v>49</v>
      </c>
      <c r="AM6" s="86" t="s">
        <v>50</v>
      </c>
      <c r="AN6" s="78" t="s">
        <v>51</v>
      </c>
      <c r="AO6" s="78" t="s">
        <v>52</v>
      </c>
      <c r="AP6" s="78" t="s">
        <v>103</v>
      </c>
      <c r="AQ6" s="79" t="s">
        <v>53</v>
      </c>
      <c r="AR6" s="77" t="s">
        <v>54</v>
      </c>
      <c r="AS6" s="78" t="s">
        <v>55</v>
      </c>
      <c r="AT6" s="78" t="s">
        <v>56</v>
      </c>
      <c r="AU6" s="78" t="s">
        <v>57</v>
      </c>
      <c r="AV6" s="78" t="s">
        <v>58</v>
      </c>
      <c r="AW6" s="79" t="s">
        <v>59</v>
      </c>
      <c r="AX6" s="77" t="s">
        <v>145</v>
      </c>
      <c r="AY6" s="78" t="s">
        <v>67</v>
      </c>
      <c r="AZ6" s="78" t="s">
        <v>68</v>
      </c>
      <c r="BA6" s="79" t="s">
        <v>69</v>
      </c>
    </row>
    <row r="7" spans="1:53" ht="32" x14ac:dyDescent="0.2">
      <c r="A7" t="s">
        <v>208</v>
      </c>
      <c r="B7" t="s">
        <v>443</v>
      </c>
      <c r="C7" t="s">
        <v>444</v>
      </c>
      <c r="D7" t="s">
        <v>73</v>
      </c>
      <c r="E7" t="s">
        <v>72</v>
      </c>
      <c r="F7" t="s">
        <v>72</v>
      </c>
      <c r="G7" t="s">
        <v>73</v>
      </c>
      <c r="H7"/>
      <c r="I7">
        <v>10</v>
      </c>
      <c r="J7">
        <v>6</v>
      </c>
      <c r="K7"/>
      <c r="L7"/>
      <c r="M7"/>
      <c r="N7">
        <v>3</v>
      </c>
      <c r="O7"/>
      <c r="P7"/>
      <c r="Q7">
        <v>0</v>
      </c>
      <c r="R7">
        <v>0</v>
      </c>
      <c r="S7">
        <v>0</v>
      </c>
      <c r="T7">
        <v>0</v>
      </c>
      <c r="U7" t="s">
        <v>73</v>
      </c>
      <c r="V7">
        <v>0</v>
      </c>
      <c r="W7">
        <v>0</v>
      </c>
      <c r="X7">
        <v>5</v>
      </c>
      <c r="Y7">
        <v>3</v>
      </c>
      <c r="Z7">
        <v>1</v>
      </c>
      <c r="AA7">
        <v>0</v>
      </c>
      <c r="AB7">
        <v>1</v>
      </c>
      <c r="AC7" t="s">
        <v>73</v>
      </c>
      <c r="AD7">
        <v>0</v>
      </c>
      <c r="AE7">
        <v>0</v>
      </c>
      <c r="AF7">
        <v>0</v>
      </c>
      <c r="AG7">
        <v>0</v>
      </c>
      <c r="AH7">
        <v>0</v>
      </c>
      <c r="AI7">
        <v>60</v>
      </c>
      <c r="AJ7">
        <v>20</v>
      </c>
      <c r="AK7" t="s">
        <v>72</v>
      </c>
      <c r="AL7" t="s">
        <v>73</v>
      </c>
      <c r="AM7" s="42" t="s">
        <v>445</v>
      </c>
      <c r="AN7" t="s">
        <v>446</v>
      </c>
      <c r="AO7" s="56">
        <v>46021.879988425928</v>
      </c>
      <c r="AP7" s="56">
        <v>46021.838321759256</v>
      </c>
      <c r="AQ7" t="s">
        <v>73</v>
      </c>
      <c r="AR7" t="s">
        <v>73</v>
      </c>
      <c r="AS7" t="s">
        <v>73</v>
      </c>
      <c r="AT7" t="s">
        <v>73</v>
      </c>
      <c r="AU7" t="s">
        <v>73</v>
      </c>
      <c r="AV7" t="s">
        <v>73</v>
      </c>
      <c r="AW7">
        <v>0</v>
      </c>
      <c r="AX7" t="s">
        <v>73</v>
      </c>
      <c r="AY7" t="s">
        <v>158</v>
      </c>
      <c r="AZ7" t="s">
        <v>158</v>
      </c>
      <c r="BA7" t="s">
        <v>158</v>
      </c>
    </row>
    <row r="8" spans="1:53" ht="16" x14ac:dyDescent="0.2">
      <c r="A8" t="s">
        <v>208</v>
      </c>
      <c r="B8" t="s">
        <v>447</v>
      </c>
      <c r="C8" t="s">
        <v>448</v>
      </c>
      <c r="D8" t="s">
        <v>73</v>
      </c>
      <c r="E8" t="s">
        <v>73</v>
      </c>
      <c r="F8" t="s">
        <v>73</v>
      </c>
      <c r="G8" t="s">
        <v>73</v>
      </c>
      <c r="H8"/>
      <c r="I8">
        <v>4</v>
      </c>
      <c r="J8"/>
      <c r="K8"/>
      <c r="L8"/>
      <c r="M8"/>
      <c r="N8"/>
      <c r="O8"/>
      <c r="P8"/>
      <c r="Q8">
        <v>0</v>
      </c>
      <c r="R8">
        <v>0</v>
      </c>
      <c r="S8">
        <v>0</v>
      </c>
      <c r="T8">
        <v>0</v>
      </c>
      <c r="U8" t="s">
        <v>73</v>
      </c>
      <c r="V8">
        <v>0</v>
      </c>
      <c r="W8">
        <v>0</v>
      </c>
      <c r="X8">
        <v>0</v>
      </c>
      <c r="Y8">
        <v>0</v>
      </c>
      <c r="Z8">
        <v>0</v>
      </c>
      <c r="AA8">
        <v>0</v>
      </c>
      <c r="AB8">
        <v>0</v>
      </c>
      <c r="AC8" t="s">
        <v>73</v>
      </c>
      <c r="AD8">
        <v>0</v>
      </c>
      <c r="AE8">
        <v>0</v>
      </c>
      <c r="AF8">
        <v>0</v>
      </c>
      <c r="AG8">
        <v>0</v>
      </c>
      <c r="AH8">
        <v>0</v>
      </c>
      <c r="AI8">
        <v>15</v>
      </c>
      <c r="AJ8">
        <v>0</v>
      </c>
      <c r="AK8" t="s">
        <v>73</v>
      </c>
      <c r="AL8" t="s">
        <v>73</v>
      </c>
      <c r="AM8" s="42" t="s">
        <v>449</v>
      </c>
      <c r="AN8" t="s">
        <v>450</v>
      </c>
      <c r="AO8" s="56">
        <v>46021.874652777777</v>
      </c>
      <c r="AP8" s="56">
        <v>46021.832986111112</v>
      </c>
      <c r="AQ8" t="s">
        <v>73</v>
      </c>
      <c r="AR8" t="s">
        <v>73</v>
      </c>
      <c r="AS8" t="s">
        <v>73</v>
      </c>
      <c r="AT8" t="s">
        <v>73</v>
      </c>
      <c r="AU8" t="s">
        <v>73</v>
      </c>
      <c r="AV8" t="s">
        <v>73</v>
      </c>
      <c r="AW8">
        <v>0</v>
      </c>
      <c r="AX8" t="s">
        <v>73</v>
      </c>
      <c r="AY8" t="s">
        <v>158</v>
      </c>
      <c r="AZ8" t="s">
        <v>158</v>
      </c>
      <c r="BA8" t="s">
        <v>158</v>
      </c>
    </row>
    <row r="9" spans="1:53" ht="48" x14ac:dyDescent="0.2">
      <c r="A9" t="s">
        <v>208</v>
      </c>
      <c r="B9" t="s">
        <v>408</v>
      </c>
      <c r="C9" t="s">
        <v>409</v>
      </c>
      <c r="D9" t="s">
        <v>73</v>
      </c>
      <c r="E9" t="s">
        <v>72</v>
      </c>
      <c r="F9" t="s">
        <v>73</v>
      </c>
      <c r="G9" t="s">
        <v>73</v>
      </c>
      <c r="H9"/>
      <c r="I9">
        <v>3</v>
      </c>
      <c r="J9"/>
      <c r="K9"/>
      <c r="L9"/>
      <c r="M9"/>
      <c r="N9"/>
      <c r="O9"/>
      <c r="P9"/>
      <c r="Q9">
        <v>0</v>
      </c>
      <c r="R9">
        <v>0</v>
      </c>
      <c r="S9">
        <v>0</v>
      </c>
      <c r="T9">
        <v>0</v>
      </c>
      <c r="U9" t="s">
        <v>73</v>
      </c>
      <c r="V9">
        <v>0</v>
      </c>
      <c r="W9">
        <v>0</v>
      </c>
      <c r="X9">
        <v>0</v>
      </c>
      <c r="Y9">
        <v>0</v>
      </c>
      <c r="Z9">
        <v>0</v>
      </c>
      <c r="AA9">
        <v>0</v>
      </c>
      <c r="AB9">
        <v>0</v>
      </c>
      <c r="AC9" t="s">
        <v>73</v>
      </c>
      <c r="AD9">
        <v>0</v>
      </c>
      <c r="AE9">
        <v>0</v>
      </c>
      <c r="AF9">
        <v>0</v>
      </c>
      <c r="AG9">
        <v>0</v>
      </c>
      <c r="AH9">
        <v>0</v>
      </c>
      <c r="AI9">
        <v>50</v>
      </c>
      <c r="AJ9">
        <v>10</v>
      </c>
      <c r="AK9" t="s">
        <v>73</v>
      </c>
      <c r="AL9" t="s">
        <v>72</v>
      </c>
      <c r="AM9" s="42" t="s">
        <v>410</v>
      </c>
      <c r="AN9" t="s">
        <v>411</v>
      </c>
      <c r="AO9" s="56">
        <v>46019.440752314818</v>
      </c>
      <c r="AP9" s="56">
        <v>46019.399085648147</v>
      </c>
      <c r="AQ9" t="s">
        <v>73</v>
      </c>
      <c r="AR9" t="s">
        <v>73</v>
      </c>
      <c r="AS9" t="s">
        <v>73</v>
      </c>
      <c r="AT9" t="s">
        <v>73</v>
      </c>
      <c r="AU9" t="s">
        <v>73</v>
      </c>
      <c r="AV9" t="s">
        <v>73</v>
      </c>
      <c r="AW9">
        <v>0</v>
      </c>
      <c r="AX9" t="s">
        <v>73</v>
      </c>
      <c r="AY9" t="s">
        <v>158</v>
      </c>
      <c r="AZ9" t="s">
        <v>158</v>
      </c>
      <c r="BA9" t="s">
        <v>158</v>
      </c>
    </row>
    <row r="10" spans="1:53" ht="16" x14ac:dyDescent="0.2">
      <c r="A10" t="s">
        <v>208</v>
      </c>
      <c r="B10" t="s">
        <v>393</v>
      </c>
      <c r="C10" t="s">
        <v>394</v>
      </c>
      <c r="D10" t="s">
        <v>72</v>
      </c>
      <c r="E10" t="s">
        <v>72</v>
      </c>
      <c r="F10" t="s">
        <v>72</v>
      </c>
      <c r="G10" t="s">
        <v>72</v>
      </c>
      <c r="H10" t="s">
        <v>72</v>
      </c>
      <c r="I10">
        <v>13</v>
      </c>
      <c r="J10">
        <v>8</v>
      </c>
      <c r="K10"/>
      <c r="L10">
        <v>6</v>
      </c>
      <c r="M10"/>
      <c r="N10">
        <v>9</v>
      </c>
      <c r="O10"/>
      <c r="P10"/>
      <c r="Q10">
        <v>0</v>
      </c>
      <c r="R10">
        <v>0</v>
      </c>
      <c r="S10">
        <v>0</v>
      </c>
      <c r="T10">
        <v>0</v>
      </c>
      <c r="U10" t="s">
        <v>73</v>
      </c>
      <c r="V10">
        <v>5</v>
      </c>
      <c r="W10">
        <v>21</v>
      </c>
      <c r="X10">
        <v>16</v>
      </c>
      <c r="Y10">
        <v>7</v>
      </c>
      <c r="Z10">
        <v>7</v>
      </c>
      <c r="AA10">
        <v>0</v>
      </c>
      <c r="AB10">
        <v>2</v>
      </c>
      <c r="AC10" t="s">
        <v>73</v>
      </c>
      <c r="AD10">
        <v>0</v>
      </c>
      <c r="AE10">
        <v>0</v>
      </c>
      <c r="AF10">
        <v>0</v>
      </c>
      <c r="AG10">
        <v>0</v>
      </c>
      <c r="AH10">
        <v>0</v>
      </c>
      <c r="AI10">
        <v>120</v>
      </c>
      <c r="AJ10">
        <v>34</v>
      </c>
      <c r="AK10" t="s">
        <v>73</v>
      </c>
      <c r="AL10" t="s">
        <v>73</v>
      </c>
      <c r="AM10" s="42" t="s">
        <v>73</v>
      </c>
      <c r="AN10" t="s">
        <v>395</v>
      </c>
      <c r="AO10" s="56">
        <v>46017.522615740738</v>
      </c>
      <c r="AP10" s="56">
        <v>46019.847025462965</v>
      </c>
      <c r="AQ10" t="s">
        <v>73</v>
      </c>
      <c r="AR10" t="s">
        <v>73</v>
      </c>
      <c r="AS10" t="s">
        <v>73</v>
      </c>
      <c r="AT10" t="s">
        <v>73</v>
      </c>
      <c r="AU10" t="s">
        <v>73</v>
      </c>
      <c r="AV10" t="s">
        <v>73</v>
      </c>
      <c r="AW10">
        <v>0</v>
      </c>
      <c r="AX10" t="s">
        <v>75</v>
      </c>
      <c r="AY10" t="s">
        <v>396</v>
      </c>
      <c r="AZ10" t="s">
        <v>214</v>
      </c>
      <c r="BA10" t="s">
        <v>397</v>
      </c>
    </row>
    <row r="11" spans="1:53" ht="16" x14ac:dyDescent="0.2">
      <c r="A11" t="s">
        <v>208</v>
      </c>
      <c r="B11" t="s">
        <v>388</v>
      </c>
      <c r="C11" t="s">
        <v>389</v>
      </c>
      <c r="D11" t="s">
        <v>73</v>
      </c>
      <c r="E11" t="s">
        <v>72</v>
      </c>
      <c r="F11" t="s">
        <v>72</v>
      </c>
      <c r="G11" t="s">
        <v>73</v>
      </c>
      <c r="H11"/>
      <c r="I11">
        <v>12</v>
      </c>
      <c r="J11"/>
      <c r="K11"/>
      <c r="L11"/>
      <c r="M11"/>
      <c r="N11">
        <v>4</v>
      </c>
      <c r="O11"/>
      <c r="P11"/>
      <c r="Q11">
        <v>3</v>
      </c>
      <c r="R11">
        <v>3</v>
      </c>
      <c r="S11">
        <v>0</v>
      </c>
      <c r="T11">
        <v>0</v>
      </c>
      <c r="U11" t="s">
        <v>73</v>
      </c>
      <c r="V11">
        <v>0</v>
      </c>
      <c r="W11">
        <v>0</v>
      </c>
      <c r="X11">
        <v>3</v>
      </c>
      <c r="Y11">
        <v>3</v>
      </c>
      <c r="Z11">
        <v>0</v>
      </c>
      <c r="AA11">
        <v>0</v>
      </c>
      <c r="AB11">
        <v>0</v>
      </c>
      <c r="AC11" t="s">
        <v>73</v>
      </c>
      <c r="AD11">
        <v>0</v>
      </c>
      <c r="AE11">
        <v>0</v>
      </c>
      <c r="AF11">
        <v>0</v>
      </c>
      <c r="AG11">
        <v>0</v>
      </c>
      <c r="AH11">
        <v>0</v>
      </c>
      <c r="AI11">
        <v>50</v>
      </c>
      <c r="AJ11">
        <v>7</v>
      </c>
      <c r="AK11" t="s">
        <v>72</v>
      </c>
      <c r="AL11" t="s">
        <v>73</v>
      </c>
      <c r="AM11" s="42" t="s">
        <v>73</v>
      </c>
      <c r="AN11" t="s">
        <v>390</v>
      </c>
      <c r="AO11" s="56">
        <v>46017.422407407408</v>
      </c>
      <c r="AP11" s="56">
        <v>46017.380740740744</v>
      </c>
      <c r="AQ11" t="s">
        <v>73</v>
      </c>
      <c r="AR11" t="s">
        <v>73</v>
      </c>
      <c r="AS11" t="s">
        <v>73</v>
      </c>
      <c r="AT11" t="s">
        <v>73</v>
      </c>
      <c r="AU11" t="s">
        <v>73</v>
      </c>
      <c r="AV11" t="s">
        <v>73</v>
      </c>
      <c r="AW11">
        <v>0</v>
      </c>
      <c r="AX11" t="s">
        <v>73</v>
      </c>
      <c r="AY11" t="s">
        <v>158</v>
      </c>
      <c r="AZ11" t="s">
        <v>158</v>
      </c>
      <c r="BA11" t="s">
        <v>158</v>
      </c>
    </row>
    <row r="12" spans="1:53" ht="16" x14ac:dyDescent="0.2">
      <c r="A12" t="s">
        <v>208</v>
      </c>
      <c r="B12" t="s">
        <v>359</v>
      </c>
      <c r="C12" t="s">
        <v>360</v>
      </c>
      <c r="D12" t="s">
        <v>73</v>
      </c>
      <c r="E12" t="s">
        <v>72</v>
      </c>
      <c r="F12" t="s">
        <v>72</v>
      </c>
      <c r="G12" t="s">
        <v>262</v>
      </c>
      <c r="H12"/>
      <c r="I12">
        <v>10</v>
      </c>
      <c r="J12">
        <v>6</v>
      </c>
      <c r="K12"/>
      <c r="L12">
        <v>4</v>
      </c>
      <c r="M12"/>
      <c r="N12">
        <v>4</v>
      </c>
      <c r="O12"/>
      <c r="P12"/>
      <c r="Q12">
        <v>0</v>
      </c>
      <c r="R12">
        <v>0</v>
      </c>
      <c r="S12">
        <v>0</v>
      </c>
      <c r="T12">
        <v>0</v>
      </c>
      <c r="U12" t="s">
        <v>73</v>
      </c>
      <c r="V12">
        <v>2</v>
      </c>
      <c r="W12">
        <v>16</v>
      </c>
      <c r="X12">
        <v>16</v>
      </c>
      <c r="Y12">
        <v>11</v>
      </c>
      <c r="Z12">
        <v>0</v>
      </c>
      <c r="AA12">
        <v>2</v>
      </c>
      <c r="AB12">
        <v>3</v>
      </c>
      <c r="AC12" t="s">
        <v>73</v>
      </c>
      <c r="AD12">
        <v>0</v>
      </c>
      <c r="AE12">
        <v>0</v>
      </c>
      <c r="AF12">
        <v>0</v>
      </c>
      <c r="AG12">
        <v>0</v>
      </c>
      <c r="AH12">
        <v>0</v>
      </c>
      <c r="AI12">
        <v>120</v>
      </c>
      <c r="AJ12">
        <v>35</v>
      </c>
      <c r="AK12" t="s">
        <v>73</v>
      </c>
      <c r="AL12" t="s">
        <v>73</v>
      </c>
      <c r="AM12" s="42" t="s">
        <v>361</v>
      </c>
      <c r="AN12" t="s">
        <v>362</v>
      </c>
      <c r="AO12" s="56">
        <v>46014.652094907404</v>
      </c>
      <c r="AP12" s="56">
        <v>46015.316423611112</v>
      </c>
      <c r="AQ12" t="s">
        <v>73</v>
      </c>
      <c r="AR12" t="s">
        <v>73</v>
      </c>
      <c r="AS12" t="s">
        <v>73</v>
      </c>
      <c r="AT12" t="s">
        <v>73</v>
      </c>
      <c r="AU12" t="s">
        <v>73</v>
      </c>
      <c r="AV12" t="s">
        <v>73</v>
      </c>
      <c r="AW12">
        <v>0</v>
      </c>
      <c r="AX12" t="s">
        <v>212</v>
      </c>
      <c r="AY12" t="s">
        <v>368</v>
      </c>
      <c r="AZ12" t="s">
        <v>363</v>
      </c>
      <c r="BA12" t="s">
        <v>369</v>
      </c>
    </row>
    <row r="13" spans="1:53" ht="16" x14ac:dyDescent="0.2">
      <c r="A13" t="s">
        <v>208</v>
      </c>
      <c r="B13" t="s">
        <v>364</v>
      </c>
      <c r="C13" t="s">
        <v>365</v>
      </c>
      <c r="D13" t="s">
        <v>73</v>
      </c>
      <c r="E13" t="s">
        <v>72</v>
      </c>
      <c r="F13" t="s">
        <v>73</v>
      </c>
      <c r="G13" t="s">
        <v>73</v>
      </c>
      <c r="H13"/>
      <c r="I13"/>
      <c r="J13"/>
      <c r="K13"/>
      <c r="L13"/>
      <c r="M13"/>
      <c r="N13"/>
      <c r="O13"/>
      <c r="P13"/>
      <c r="Q13">
        <v>0</v>
      </c>
      <c r="R13">
        <v>0</v>
      </c>
      <c r="S13">
        <v>0</v>
      </c>
      <c r="T13">
        <v>0</v>
      </c>
      <c r="U13" t="s">
        <v>73</v>
      </c>
      <c r="V13">
        <v>0</v>
      </c>
      <c r="W13">
        <v>0</v>
      </c>
      <c r="X13">
        <v>0</v>
      </c>
      <c r="Y13">
        <v>0</v>
      </c>
      <c r="Z13">
        <v>0</v>
      </c>
      <c r="AA13">
        <v>0</v>
      </c>
      <c r="AB13">
        <v>0</v>
      </c>
      <c r="AC13" t="s">
        <v>73</v>
      </c>
      <c r="AD13">
        <v>0</v>
      </c>
      <c r="AE13">
        <v>0</v>
      </c>
      <c r="AF13">
        <v>0</v>
      </c>
      <c r="AG13">
        <v>0</v>
      </c>
      <c r="AH13">
        <v>0</v>
      </c>
      <c r="AI13">
        <v>35</v>
      </c>
      <c r="AJ13">
        <v>2</v>
      </c>
      <c r="AK13" t="s">
        <v>72</v>
      </c>
      <c r="AL13" t="s">
        <v>73</v>
      </c>
      <c r="AM13" s="42" t="s">
        <v>73</v>
      </c>
      <c r="AN13" t="s">
        <v>366</v>
      </c>
      <c r="AO13" s="56">
        <v>46013.909756944442</v>
      </c>
      <c r="AP13" s="56">
        <v>46013.868090277778</v>
      </c>
      <c r="AQ13" t="s">
        <v>73</v>
      </c>
      <c r="AR13" t="s">
        <v>73</v>
      </c>
      <c r="AS13" t="s">
        <v>73</v>
      </c>
      <c r="AT13" t="s">
        <v>73</v>
      </c>
      <c r="AU13" t="s">
        <v>73</v>
      </c>
      <c r="AV13" t="s">
        <v>73</v>
      </c>
      <c r="AW13">
        <v>0</v>
      </c>
      <c r="AX13" t="s">
        <v>73</v>
      </c>
      <c r="AY13" t="s">
        <v>158</v>
      </c>
      <c r="AZ13" t="s">
        <v>158</v>
      </c>
      <c r="BA13" t="s">
        <v>158</v>
      </c>
    </row>
    <row r="14" spans="1:53" ht="32" x14ac:dyDescent="0.2">
      <c r="A14" t="s">
        <v>208</v>
      </c>
      <c r="B14" t="s">
        <v>332</v>
      </c>
      <c r="C14" t="s">
        <v>333</v>
      </c>
      <c r="D14" t="s">
        <v>73</v>
      </c>
      <c r="E14" t="s">
        <v>72</v>
      </c>
      <c r="F14" t="s">
        <v>73</v>
      </c>
      <c r="G14" t="s">
        <v>72</v>
      </c>
      <c r="H14" t="s">
        <v>72</v>
      </c>
      <c r="I14">
        <v>4</v>
      </c>
      <c r="J14"/>
      <c r="K14"/>
      <c r="L14"/>
      <c r="M14"/>
      <c r="N14"/>
      <c r="O14"/>
      <c r="P14"/>
      <c r="Q14">
        <v>0</v>
      </c>
      <c r="R14">
        <v>0</v>
      </c>
      <c r="S14">
        <v>0</v>
      </c>
      <c r="T14">
        <v>0</v>
      </c>
      <c r="U14" t="s">
        <v>73</v>
      </c>
      <c r="V14">
        <v>6</v>
      </c>
      <c r="W14">
        <v>15</v>
      </c>
      <c r="X14">
        <v>2</v>
      </c>
      <c r="Y14">
        <v>1</v>
      </c>
      <c r="Z14">
        <v>0</v>
      </c>
      <c r="AA14">
        <v>0</v>
      </c>
      <c r="AB14">
        <v>1</v>
      </c>
      <c r="AC14" t="s">
        <v>73</v>
      </c>
      <c r="AD14">
        <v>0</v>
      </c>
      <c r="AE14">
        <v>0</v>
      </c>
      <c r="AF14">
        <v>0</v>
      </c>
      <c r="AG14">
        <v>0</v>
      </c>
      <c r="AH14">
        <v>0</v>
      </c>
      <c r="AI14">
        <v>45</v>
      </c>
      <c r="AJ14">
        <v>10</v>
      </c>
      <c r="AK14" t="s">
        <v>73</v>
      </c>
      <c r="AL14" t="s">
        <v>73</v>
      </c>
      <c r="AM14" s="42" t="s">
        <v>434</v>
      </c>
      <c r="AN14" t="s">
        <v>334</v>
      </c>
      <c r="AO14" s="56">
        <v>46013.663159722222</v>
      </c>
      <c r="AP14" s="56">
        <v>46020.814189814817</v>
      </c>
      <c r="AQ14" t="s">
        <v>73</v>
      </c>
      <c r="AR14" t="s">
        <v>73</v>
      </c>
      <c r="AS14" t="s">
        <v>73</v>
      </c>
      <c r="AT14" t="s">
        <v>73</v>
      </c>
      <c r="AU14" t="s">
        <v>73</v>
      </c>
      <c r="AV14" t="s">
        <v>73</v>
      </c>
      <c r="AW14">
        <v>0</v>
      </c>
      <c r="AX14" t="s">
        <v>75</v>
      </c>
      <c r="AY14" t="s">
        <v>335</v>
      </c>
      <c r="AZ14" t="s">
        <v>336</v>
      </c>
      <c r="BA14" t="s">
        <v>337</v>
      </c>
    </row>
    <row r="15" spans="1:53" ht="16" x14ac:dyDescent="0.2">
      <c r="A15" t="s">
        <v>208</v>
      </c>
      <c r="B15" t="s">
        <v>303</v>
      </c>
      <c r="C15" t="s">
        <v>304</v>
      </c>
      <c r="D15" t="s">
        <v>72</v>
      </c>
      <c r="E15" t="s">
        <v>72</v>
      </c>
      <c r="F15" t="s">
        <v>72</v>
      </c>
      <c r="G15" t="s">
        <v>73</v>
      </c>
      <c r="H15"/>
      <c r="I15">
        <v>10</v>
      </c>
      <c r="J15"/>
      <c r="K15"/>
      <c r="L15"/>
      <c r="M15"/>
      <c r="N15"/>
      <c r="O15"/>
      <c r="P15"/>
      <c r="Q15">
        <v>0</v>
      </c>
      <c r="R15">
        <v>0</v>
      </c>
      <c r="S15">
        <v>0</v>
      </c>
      <c r="T15">
        <v>0</v>
      </c>
      <c r="U15" t="s">
        <v>73</v>
      </c>
      <c r="V15">
        <v>0</v>
      </c>
      <c r="W15">
        <v>0</v>
      </c>
      <c r="X15">
        <v>5</v>
      </c>
      <c r="Y15">
        <v>5</v>
      </c>
      <c r="Z15">
        <v>0</v>
      </c>
      <c r="AA15">
        <v>0</v>
      </c>
      <c r="AB15">
        <v>0</v>
      </c>
      <c r="AC15" t="s">
        <v>73</v>
      </c>
      <c r="AD15">
        <v>0</v>
      </c>
      <c r="AE15">
        <v>0</v>
      </c>
      <c r="AF15">
        <v>0</v>
      </c>
      <c r="AG15">
        <v>0</v>
      </c>
      <c r="AH15">
        <v>0</v>
      </c>
      <c r="AI15">
        <v>65</v>
      </c>
      <c r="AJ15">
        <v>2</v>
      </c>
      <c r="AK15" t="s">
        <v>72</v>
      </c>
      <c r="AL15" t="s">
        <v>73</v>
      </c>
      <c r="AM15" s="42" t="s">
        <v>73</v>
      </c>
      <c r="AN15" t="s">
        <v>305</v>
      </c>
      <c r="AO15" s="56">
        <v>46011.04991898148</v>
      </c>
      <c r="AP15" s="56">
        <v>46011.008252314816</v>
      </c>
      <c r="AQ15" t="s">
        <v>73</v>
      </c>
      <c r="AR15" t="s">
        <v>73</v>
      </c>
      <c r="AS15" t="s">
        <v>73</v>
      </c>
      <c r="AT15" t="s">
        <v>73</v>
      </c>
      <c r="AU15" t="s">
        <v>73</v>
      </c>
      <c r="AV15" t="s">
        <v>73</v>
      </c>
      <c r="AW15">
        <v>0</v>
      </c>
      <c r="AX15" t="s">
        <v>73</v>
      </c>
      <c r="AY15" t="s">
        <v>158</v>
      </c>
      <c r="AZ15" t="s">
        <v>158</v>
      </c>
      <c r="BA15" t="s">
        <v>158</v>
      </c>
    </row>
    <row r="16" spans="1:53" ht="16" x14ac:dyDescent="0.2">
      <c r="A16" t="s">
        <v>208</v>
      </c>
      <c r="B16" t="s">
        <v>295</v>
      </c>
      <c r="C16" t="s">
        <v>296</v>
      </c>
      <c r="D16" t="s">
        <v>73</v>
      </c>
      <c r="E16" t="s">
        <v>72</v>
      </c>
      <c r="F16" t="s">
        <v>72</v>
      </c>
      <c r="G16" t="s">
        <v>73</v>
      </c>
      <c r="H16"/>
      <c r="I16">
        <v>5</v>
      </c>
      <c r="J16"/>
      <c r="K16"/>
      <c r="L16"/>
      <c r="M16"/>
      <c r="N16"/>
      <c r="O16"/>
      <c r="P16"/>
      <c r="Q16">
        <v>0</v>
      </c>
      <c r="R16">
        <v>0</v>
      </c>
      <c r="S16">
        <v>0</v>
      </c>
      <c r="T16">
        <v>0</v>
      </c>
      <c r="U16" t="s">
        <v>73</v>
      </c>
      <c r="V16">
        <v>0</v>
      </c>
      <c r="W16">
        <v>0</v>
      </c>
      <c r="X16">
        <v>0</v>
      </c>
      <c r="Y16">
        <v>0</v>
      </c>
      <c r="Z16">
        <v>0</v>
      </c>
      <c r="AA16">
        <v>0</v>
      </c>
      <c r="AB16">
        <v>0</v>
      </c>
      <c r="AC16" t="s">
        <v>73</v>
      </c>
      <c r="AD16">
        <v>0</v>
      </c>
      <c r="AE16">
        <v>0</v>
      </c>
      <c r="AF16">
        <v>0</v>
      </c>
      <c r="AG16">
        <v>0</v>
      </c>
      <c r="AH16">
        <v>0</v>
      </c>
      <c r="AI16">
        <v>20</v>
      </c>
      <c r="AJ16">
        <v>9</v>
      </c>
      <c r="AK16" t="s">
        <v>73</v>
      </c>
      <c r="AL16" t="s">
        <v>73</v>
      </c>
      <c r="AM16" s="42" t="s">
        <v>73</v>
      </c>
      <c r="AN16" t="s">
        <v>297</v>
      </c>
      <c r="AO16" s="56">
        <v>46007.917592592596</v>
      </c>
      <c r="AP16" s="56">
        <v>46007.875925925924</v>
      </c>
      <c r="AQ16" t="s">
        <v>73</v>
      </c>
      <c r="AR16" t="s">
        <v>73</v>
      </c>
      <c r="AS16" t="s">
        <v>73</v>
      </c>
      <c r="AT16" t="s">
        <v>73</v>
      </c>
      <c r="AU16" t="s">
        <v>73</v>
      </c>
      <c r="AV16" t="s">
        <v>73</v>
      </c>
      <c r="AW16">
        <v>0</v>
      </c>
      <c r="AX16" t="s">
        <v>73</v>
      </c>
      <c r="AY16" t="s">
        <v>158</v>
      </c>
      <c r="AZ16" t="s">
        <v>158</v>
      </c>
      <c r="BA16" t="s">
        <v>158</v>
      </c>
    </row>
    <row r="17" spans="1:53" ht="16" x14ac:dyDescent="0.2">
      <c r="A17" t="s">
        <v>208</v>
      </c>
      <c r="B17" t="s">
        <v>260</v>
      </c>
      <c r="C17" t="s">
        <v>261</v>
      </c>
      <c r="D17" t="s">
        <v>73</v>
      </c>
      <c r="E17" t="s">
        <v>72</v>
      </c>
      <c r="F17" t="s">
        <v>72</v>
      </c>
      <c r="G17" t="s">
        <v>262</v>
      </c>
      <c r="H17"/>
      <c r="I17">
        <v>5</v>
      </c>
      <c r="J17">
        <v>6</v>
      </c>
      <c r="K17"/>
      <c r="L17"/>
      <c r="M17"/>
      <c r="N17"/>
      <c r="O17"/>
      <c r="P17"/>
      <c r="Q17">
        <v>0</v>
      </c>
      <c r="R17">
        <v>0</v>
      </c>
      <c r="S17">
        <v>0</v>
      </c>
      <c r="T17">
        <v>0</v>
      </c>
      <c r="U17" t="s">
        <v>73</v>
      </c>
      <c r="V17">
        <v>3</v>
      </c>
      <c r="W17">
        <v>18</v>
      </c>
      <c r="X17">
        <v>3</v>
      </c>
      <c r="Y17">
        <v>3</v>
      </c>
      <c r="Z17">
        <v>0</v>
      </c>
      <c r="AA17">
        <v>0</v>
      </c>
      <c r="AB17">
        <v>0</v>
      </c>
      <c r="AC17" t="s">
        <v>73</v>
      </c>
      <c r="AD17">
        <v>0</v>
      </c>
      <c r="AE17">
        <v>0</v>
      </c>
      <c r="AF17">
        <v>0</v>
      </c>
      <c r="AG17">
        <v>0</v>
      </c>
      <c r="AH17">
        <v>0</v>
      </c>
      <c r="AI17">
        <v>105</v>
      </c>
      <c r="AJ17">
        <v>30</v>
      </c>
      <c r="AK17" t="s">
        <v>72</v>
      </c>
      <c r="AL17" t="s">
        <v>73</v>
      </c>
      <c r="AM17" s="42" t="s">
        <v>73</v>
      </c>
      <c r="AN17" t="s">
        <v>263</v>
      </c>
      <c r="AO17" s="56">
        <v>46006.741284722222</v>
      </c>
      <c r="AP17" s="56">
        <v>46006.720034722224</v>
      </c>
      <c r="AQ17" t="s">
        <v>73</v>
      </c>
      <c r="AR17" t="s">
        <v>73</v>
      </c>
      <c r="AS17" t="s">
        <v>73</v>
      </c>
      <c r="AT17" t="s">
        <v>73</v>
      </c>
      <c r="AU17" t="s">
        <v>73</v>
      </c>
      <c r="AV17" t="s">
        <v>73</v>
      </c>
      <c r="AW17">
        <v>0</v>
      </c>
      <c r="AX17" t="s">
        <v>75</v>
      </c>
      <c r="AY17" t="s">
        <v>264</v>
      </c>
      <c r="AZ17" t="s">
        <v>265</v>
      </c>
      <c r="BA17" t="s">
        <v>266</v>
      </c>
    </row>
    <row r="18" spans="1:53" ht="16" x14ac:dyDescent="0.2">
      <c r="A18" t="s">
        <v>208</v>
      </c>
      <c r="B18" t="s">
        <v>267</v>
      </c>
      <c r="C18" t="s">
        <v>268</v>
      </c>
      <c r="D18" t="s">
        <v>73</v>
      </c>
      <c r="E18" t="s">
        <v>72</v>
      </c>
      <c r="F18" t="s">
        <v>72</v>
      </c>
      <c r="G18" t="s">
        <v>73</v>
      </c>
      <c r="H18"/>
      <c r="I18">
        <v>4</v>
      </c>
      <c r="J18"/>
      <c r="K18"/>
      <c r="L18"/>
      <c r="M18"/>
      <c r="N18">
        <v>4</v>
      </c>
      <c r="O18"/>
      <c r="P18"/>
      <c r="Q18">
        <v>0</v>
      </c>
      <c r="R18">
        <v>0</v>
      </c>
      <c r="S18">
        <v>0</v>
      </c>
      <c r="T18">
        <v>0</v>
      </c>
      <c r="U18" t="s">
        <v>73</v>
      </c>
      <c r="V18">
        <v>0</v>
      </c>
      <c r="W18">
        <v>0</v>
      </c>
      <c r="X18">
        <v>2</v>
      </c>
      <c r="Y18">
        <v>2</v>
      </c>
      <c r="Z18">
        <v>0</v>
      </c>
      <c r="AA18">
        <v>0</v>
      </c>
      <c r="AB18">
        <v>0</v>
      </c>
      <c r="AC18" t="s">
        <v>73</v>
      </c>
      <c r="AD18">
        <v>0</v>
      </c>
      <c r="AE18">
        <v>0</v>
      </c>
      <c r="AF18">
        <v>0</v>
      </c>
      <c r="AG18">
        <v>0</v>
      </c>
      <c r="AH18">
        <v>0</v>
      </c>
      <c r="AI18">
        <v>25</v>
      </c>
      <c r="AJ18">
        <v>0</v>
      </c>
      <c r="AK18" t="s">
        <v>73</v>
      </c>
      <c r="AL18" t="s">
        <v>73</v>
      </c>
      <c r="AM18" s="42" t="s">
        <v>269</v>
      </c>
      <c r="AN18" t="s">
        <v>270</v>
      </c>
      <c r="AO18" s="56">
        <v>46005.913182870368</v>
      </c>
      <c r="AP18" s="56">
        <v>46005.871516203704</v>
      </c>
      <c r="AQ18" t="s">
        <v>73</v>
      </c>
      <c r="AR18" t="s">
        <v>73</v>
      </c>
      <c r="AS18" t="s">
        <v>73</v>
      </c>
      <c r="AT18" t="s">
        <v>73</v>
      </c>
      <c r="AU18" t="s">
        <v>73</v>
      </c>
      <c r="AV18" t="s">
        <v>73</v>
      </c>
      <c r="AW18">
        <v>0</v>
      </c>
      <c r="AX18" t="s">
        <v>73</v>
      </c>
      <c r="AY18" t="s">
        <v>158</v>
      </c>
      <c r="AZ18" t="s">
        <v>158</v>
      </c>
      <c r="BA18" t="s">
        <v>158</v>
      </c>
    </row>
    <row r="19" spans="1:53" ht="16" x14ac:dyDescent="0.2">
      <c r="A19" t="s">
        <v>208</v>
      </c>
      <c r="B19" t="s">
        <v>232</v>
      </c>
      <c r="C19" t="s">
        <v>233</v>
      </c>
      <c r="D19" t="s">
        <v>72</v>
      </c>
      <c r="E19" t="s">
        <v>72</v>
      </c>
      <c r="F19" t="s">
        <v>73</v>
      </c>
      <c r="G19" t="s">
        <v>72</v>
      </c>
      <c r="H19" t="s">
        <v>72</v>
      </c>
      <c r="I19">
        <v>6</v>
      </c>
      <c r="J19"/>
      <c r="K19"/>
      <c r="L19"/>
      <c r="M19"/>
      <c r="N19"/>
      <c r="O19"/>
      <c r="P19"/>
      <c r="Q19">
        <v>0</v>
      </c>
      <c r="R19">
        <v>0</v>
      </c>
      <c r="S19">
        <v>0</v>
      </c>
      <c r="T19">
        <v>0</v>
      </c>
      <c r="U19" t="s">
        <v>73</v>
      </c>
      <c r="V19">
        <v>5</v>
      </c>
      <c r="W19">
        <v>9</v>
      </c>
      <c r="X19">
        <v>2</v>
      </c>
      <c r="Y19">
        <v>2</v>
      </c>
      <c r="Z19">
        <v>0</v>
      </c>
      <c r="AA19">
        <v>0</v>
      </c>
      <c r="AB19">
        <v>0</v>
      </c>
      <c r="AC19" t="s">
        <v>73</v>
      </c>
      <c r="AD19">
        <v>0</v>
      </c>
      <c r="AE19">
        <v>0</v>
      </c>
      <c r="AF19">
        <v>0</v>
      </c>
      <c r="AG19">
        <v>0</v>
      </c>
      <c r="AH19">
        <v>0</v>
      </c>
      <c r="AI19">
        <v>60</v>
      </c>
      <c r="AJ19">
        <v>15</v>
      </c>
      <c r="AK19" t="s">
        <v>72</v>
      </c>
      <c r="AL19" t="s">
        <v>73</v>
      </c>
      <c r="AM19" s="42" t="s">
        <v>73</v>
      </c>
      <c r="AN19" t="s">
        <v>234</v>
      </c>
      <c r="AO19" s="56">
        <v>46003.884305555555</v>
      </c>
      <c r="AP19" s="56">
        <v>46003.842638888891</v>
      </c>
      <c r="AQ19" t="s">
        <v>73</v>
      </c>
      <c r="AR19" t="s">
        <v>73</v>
      </c>
      <c r="AS19" t="s">
        <v>73</v>
      </c>
      <c r="AT19" t="s">
        <v>73</v>
      </c>
      <c r="AU19" t="s">
        <v>73</v>
      </c>
      <c r="AV19" t="s">
        <v>73</v>
      </c>
      <c r="AW19">
        <v>0</v>
      </c>
      <c r="AX19" t="s">
        <v>75</v>
      </c>
      <c r="AY19" t="s">
        <v>235</v>
      </c>
      <c r="AZ19" t="s">
        <v>214</v>
      </c>
      <c r="BA19" t="s">
        <v>236</v>
      </c>
    </row>
    <row r="20" spans="1:53" ht="16" x14ac:dyDescent="0.2">
      <c r="A20" t="s">
        <v>208</v>
      </c>
      <c r="B20" t="s">
        <v>209</v>
      </c>
      <c r="C20" t="s">
        <v>210</v>
      </c>
      <c r="D20" t="s">
        <v>73</v>
      </c>
      <c r="E20" t="s">
        <v>72</v>
      </c>
      <c r="F20" t="s">
        <v>72</v>
      </c>
      <c r="G20" t="s">
        <v>72</v>
      </c>
      <c r="H20" t="s">
        <v>72</v>
      </c>
      <c r="I20">
        <v>8</v>
      </c>
      <c r="J20">
        <v>3</v>
      </c>
      <c r="K20"/>
      <c r="L20"/>
      <c r="M20"/>
      <c r="N20">
        <v>4</v>
      </c>
      <c r="O20"/>
      <c r="P20"/>
      <c r="Q20">
        <v>3</v>
      </c>
      <c r="R20">
        <v>1</v>
      </c>
      <c r="S20">
        <v>2</v>
      </c>
      <c r="T20">
        <v>0</v>
      </c>
      <c r="U20" t="s">
        <v>73</v>
      </c>
      <c r="V20">
        <v>5</v>
      </c>
      <c r="W20">
        <v>20</v>
      </c>
      <c r="X20">
        <v>7</v>
      </c>
      <c r="Y20">
        <v>6</v>
      </c>
      <c r="Z20">
        <v>1</v>
      </c>
      <c r="AA20">
        <v>0</v>
      </c>
      <c r="AB20">
        <v>0</v>
      </c>
      <c r="AC20" t="s">
        <v>73</v>
      </c>
      <c r="AD20">
        <v>0</v>
      </c>
      <c r="AE20">
        <v>0</v>
      </c>
      <c r="AF20">
        <v>0</v>
      </c>
      <c r="AG20">
        <v>0</v>
      </c>
      <c r="AH20">
        <v>0</v>
      </c>
      <c r="AI20">
        <v>75</v>
      </c>
      <c r="AJ20">
        <v>27</v>
      </c>
      <c r="AK20" t="s">
        <v>72</v>
      </c>
      <c r="AL20" t="s">
        <v>73</v>
      </c>
      <c r="AM20" s="42" t="s">
        <v>73</v>
      </c>
      <c r="AN20" t="s">
        <v>211</v>
      </c>
      <c r="AO20" s="56">
        <v>46002.935590277775</v>
      </c>
      <c r="AP20" s="56">
        <v>46018.824548611112</v>
      </c>
      <c r="AQ20" t="s">
        <v>73</v>
      </c>
      <c r="AR20" t="s">
        <v>73</v>
      </c>
      <c r="AS20" t="s">
        <v>73</v>
      </c>
      <c r="AT20" t="s">
        <v>73</v>
      </c>
      <c r="AU20" t="s">
        <v>73</v>
      </c>
      <c r="AV20" t="s">
        <v>73</v>
      </c>
      <c r="AW20">
        <v>0</v>
      </c>
      <c r="AX20" t="s">
        <v>75</v>
      </c>
      <c r="AY20" t="s">
        <v>213</v>
      </c>
      <c r="AZ20" t="s">
        <v>214</v>
      </c>
      <c r="BA20" t="s">
        <v>215</v>
      </c>
    </row>
    <row r="21" spans="1:53" x14ac:dyDescent="0.2">
      <c r="A21" t="s">
        <v>79</v>
      </c>
      <c r="C21">
        <f>SUBTOTAL(103,KDM[Naam vereniging])</f>
        <v>14</v>
      </c>
      <c r="D21">
        <f>COUNTIF(KDM[Delegatie],"x")</f>
        <v>3</v>
      </c>
      <c r="E21" s="7">
        <f>COUNTIF(KDM[Muziekkorps tijdens mars en defilé],"x")</f>
        <v>13</v>
      </c>
      <c r="F21" s="7">
        <f>COUNTIF(KDM[Deelname jeugdkoningschieten],"x")</f>
        <v>9</v>
      </c>
      <c r="G21" s="7">
        <f>COUNTIF(KDM[Maj. Senioren jureren bij mars],"x")</f>
        <v>4</v>
      </c>
      <c r="H21" s="7">
        <f>COUNTIF(KDM[Maj. Jeugd jureren bij mars], "x")</f>
        <v>4</v>
      </c>
      <c r="I21">
        <f>SUBTOTAL(109,KDM[Korps senioren])</f>
        <v>94</v>
      </c>
      <c r="J21">
        <f>SUBTOTAL(109,KDM[Junioren korps 1])</f>
        <v>29</v>
      </c>
      <c r="K21">
        <f>SUBTOTAL(109,KDM[Junioren korps 2])</f>
        <v>0</v>
      </c>
      <c r="L21">
        <f>SUBTOTAL(109,KDM[Aspiranten korps 1])</f>
        <v>10</v>
      </c>
      <c r="M21">
        <f>SUBTOTAL(109,KDM[Aspiranten korps 2])</f>
        <v>0</v>
      </c>
      <c r="N21">
        <f>SUBTOTAL(109,KDM[Acrobatisch senioren])</f>
        <v>28</v>
      </c>
      <c r="O21">
        <f>SUBTOTAL(109,KDM[Acrobatisch junioren])</f>
        <v>0</v>
      </c>
      <c r="P21">
        <f>SUBTOTAL(109,KDM[Acrobatisch aspiranten])</f>
        <v>0</v>
      </c>
      <c r="Q21">
        <f>SUBTOTAL(109,KDM[Opgeven vendeliers ind.])</f>
        <v>6</v>
      </c>
      <c r="R21">
        <f>SUBTOTAL(109,KDM[Acrob. senioren indiv.])</f>
        <v>4</v>
      </c>
      <c r="S21">
        <f>SUBTOTAL(109,KDM[Acrob. junioren indiv.])</f>
        <v>2</v>
      </c>
      <c r="T21">
        <f>SUBTOTAL(109,KDM[Acrob. aspiranten indiv.])</f>
        <v>0</v>
      </c>
      <c r="U21" s="7">
        <f>COUNTIF(KDM[Deelname hoofdkorps], "x")</f>
        <v>0</v>
      </c>
      <c r="V21">
        <f>SUBTOTAL(109,KDM[Groepen, teams, ensembles en duo''s])</f>
        <v>26</v>
      </c>
      <c r="W21">
        <f>SUBTOTAL(109,KDM[Aantal opgegeven majorettes])</f>
        <v>99</v>
      </c>
      <c r="X21">
        <f>SUBTOTAL(109,KDM[Opgeven bielemannen])</f>
        <v>61</v>
      </c>
      <c r="Y21">
        <f>SUBTOTAL(109,KDM[Senioren])</f>
        <v>43</v>
      </c>
      <c r="Z21">
        <f>SUBTOTAL(109,KDM[Jong Volwassene])</f>
        <v>9</v>
      </c>
      <c r="AA21">
        <f>SUBTOTAL(109,KDM[Junioren])</f>
        <v>2</v>
      </c>
      <c r="AB21">
        <f>SUBTOTAL(109,KDM[Aspiranten])</f>
        <v>7</v>
      </c>
      <c r="AC21"/>
      <c r="AD21">
        <f>SUBTOTAL(109,KDM[Aantal luchtgeweerschutters])</f>
        <v>0</v>
      </c>
      <c r="AE21">
        <f>SUBTOTAL(109,KDM[Aantal luchtpistoolschutters])</f>
        <v>0</v>
      </c>
      <c r="AF21">
        <f>SUBTOTAL(109,KDM[Aantal handboogschutters])</f>
        <v>0</v>
      </c>
      <c r="AG21">
        <f>SUBTOTAL(109,KDM[Aantal kruisboogschutters])</f>
        <v>0</v>
      </c>
      <c r="AH21">
        <f>SUBTOTAL(109,KDM[(Aantal jeugdkorpsen])</f>
        <v>0</v>
      </c>
      <c r="AI21">
        <f>SUBTOTAL(109,KDM[Totaal aantal deelnemers])</f>
        <v>845</v>
      </c>
      <c r="AJ21">
        <f>SUBTOTAL(109,KDM[Waarvan aantal jeugd (t/m 15 jaar)])</f>
        <v>201</v>
      </c>
      <c r="AK21"/>
      <c r="AL21"/>
      <c r="AM21" s="42"/>
      <c r="AN21"/>
      <c r="AO21"/>
      <c r="AP21"/>
      <c r="AQ21"/>
      <c r="AR21"/>
      <c r="AW21"/>
      <c r="AX21"/>
      <c r="AY21"/>
    </row>
  </sheetData>
  <mergeCells count="13">
    <mergeCell ref="AX4:BA5"/>
    <mergeCell ref="A1:BA1"/>
    <mergeCell ref="A2:BA2"/>
    <mergeCell ref="X4:AB5"/>
    <mergeCell ref="AC4:AC5"/>
    <mergeCell ref="AD4:AH5"/>
    <mergeCell ref="AI4:AQ5"/>
    <mergeCell ref="AR4:AW5"/>
    <mergeCell ref="D4:H5"/>
    <mergeCell ref="I5:M5"/>
    <mergeCell ref="N5:P5"/>
    <mergeCell ref="Q5:T5"/>
    <mergeCell ref="J4:T4"/>
  </mergeCells>
  <phoneticPr fontId="2" type="noConversion"/>
  <pageMargins left="0.7" right="0.7" top="0.75" bottom="0.75" header="0.3" footer="0.3"/>
  <pageSetup orientation="portrait" horizont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07CA-0AAA-4DAD-9D01-38C57DE0F2FF}">
  <dimension ref="A1:CS28"/>
  <sheetViews>
    <sheetView zoomScale="110" zoomScaleNormal="110" workbookViewId="0">
      <pane xSplit="3" ySplit="6" topLeftCell="F7" activePane="bottomRight" state="frozen"/>
      <selection pane="topRight" activeCell="D1" sqref="D1"/>
      <selection pane="bottomLeft" activeCell="A7" sqref="A7"/>
      <selection pane="bottomRight" activeCell="C12" sqref="C12"/>
    </sheetView>
  </sheetViews>
  <sheetFormatPr baseColWidth="10" defaultColWidth="6" defaultRowHeight="15" x14ac:dyDescent="0.2"/>
  <cols>
    <col min="1" max="1" width="11.5" bestFit="1" customWidth="1"/>
    <col min="2" max="2" width="9.1640625" bestFit="1" customWidth="1"/>
    <col min="3" max="3" width="58.83203125" bestFit="1" customWidth="1"/>
    <col min="4" max="5" width="3.6640625" style="1" hidden="1" customWidth="1"/>
    <col min="6" max="6" width="3.6640625" style="1" bestFit="1" customWidth="1"/>
    <col min="7" max="34" width="3.6640625" style="1" hidden="1" customWidth="1"/>
    <col min="35" max="35" width="4.1640625" style="1" bestFit="1" customWidth="1"/>
    <col min="36" max="38" width="3.6640625" style="1" bestFit="1" customWidth="1"/>
    <col min="39" max="39" width="59.5" style="1" bestFit="1" customWidth="1"/>
    <col min="40" max="40" width="5.1640625" style="1" bestFit="1" customWidth="1"/>
    <col min="41" max="42" width="15" style="1" bestFit="1" customWidth="1"/>
    <col min="43" max="50" width="3.6640625" style="1" hidden="1" customWidth="1"/>
    <col min="51" max="53" width="6.1640625" style="1" hidden="1" customWidth="1"/>
    <col min="54" max="55" width="6" style="1"/>
    <col min="56" max="56" width="6" style="42"/>
    <col min="61" max="61" width="6" style="44"/>
    <col min="62" max="62" width="6" style="1"/>
    <col min="88" max="94" width="6" style="1"/>
  </cols>
  <sheetData>
    <row r="1" spans="1:97" ht="27" customHeight="1" x14ac:dyDescent="0.2">
      <c r="A1" s="106" t="s">
        <v>83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49"/>
      <c r="CK1" s="49"/>
      <c r="CL1" s="49"/>
      <c r="CM1" s="49"/>
      <c r="CN1" s="49"/>
      <c r="CO1" s="49"/>
      <c r="CP1" s="49"/>
    </row>
    <row r="2" spans="1:97" ht="20" thickBot="1" x14ac:dyDescent="0.3">
      <c r="A2" s="107" t="s">
        <v>172</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50"/>
      <c r="CK2" s="50"/>
      <c r="CL2" s="50"/>
      <c r="CM2" s="50"/>
      <c r="CN2" s="50"/>
      <c r="CO2" s="50"/>
      <c r="CP2" s="50"/>
    </row>
    <row r="3" spans="1:97" ht="33" customHeight="1" thickBot="1" x14ac:dyDescent="0.25">
      <c r="A3" s="67"/>
      <c r="B3" s="68"/>
      <c r="C3" s="69"/>
      <c r="D3" s="93" t="s">
        <v>1</v>
      </c>
      <c r="E3" s="94"/>
      <c r="F3" s="94"/>
      <c r="G3" s="94"/>
      <c r="H3" s="95"/>
      <c r="I3" s="72"/>
      <c r="J3" s="100" t="s">
        <v>2</v>
      </c>
      <c r="K3" s="100"/>
      <c r="L3" s="100"/>
      <c r="M3" s="100"/>
      <c r="N3" s="100"/>
      <c r="O3" s="100"/>
      <c r="P3" s="100"/>
      <c r="Q3" s="100"/>
      <c r="R3" s="100"/>
      <c r="S3" s="100"/>
      <c r="T3" s="101"/>
      <c r="U3" s="17" t="s">
        <v>3</v>
      </c>
      <c r="V3" s="11" t="s">
        <v>150</v>
      </c>
      <c r="W3" s="13"/>
      <c r="X3" s="93" t="s">
        <v>5</v>
      </c>
      <c r="Y3" s="94"/>
      <c r="Z3" s="94"/>
      <c r="AA3" s="94"/>
      <c r="AB3" s="95"/>
      <c r="AC3" s="104" t="s">
        <v>151</v>
      </c>
      <c r="AD3" s="93" t="s">
        <v>7</v>
      </c>
      <c r="AE3" s="94"/>
      <c r="AF3" s="94"/>
      <c r="AG3" s="94"/>
      <c r="AH3" s="95"/>
      <c r="AI3" s="93" t="s">
        <v>8</v>
      </c>
      <c r="AJ3" s="94"/>
      <c r="AK3" s="94"/>
      <c r="AL3" s="94"/>
      <c r="AM3" s="94"/>
      <c r="AN3" s="94"/>
      <c r="AO3" s="94"/>
      <c r="AP3" s="94"/>
      <c r="AQ3" s="95"/>
      <c r="AR3" s="87" t="s">
        <v>9</v>
      </c>
      <c r="AS3" s="88"/>
      <c r="AT3" s="88"/>
      <c r="AU3" s="88"/>
      <c r="AV3" s="88"/>
      <c r="AW3" s="89"/>
      <c r="AX3" s="93" t="s">
        <v>152</v>
      </c>
      <c r="AY3" s="94"/>
      <c r="AZ3" s="94"/>
      <c r="BA3" s="95"/>
      <c r="BB3"/>
      <c r="BC3"/>
      <c r="BD3"/>
      <c r="BI3"/>
      <c r="BJ3"/>
      <c r="BW3" s="1"/>
      <c r="BX3" s="24"/>
      <c r="BY3" s="24"/>
      <c r="BZ3" s="24"/>
      <c r="CA3" s="24"/>
      <c r="CB3" s="24"/>
      <c r="CC3" s="24"/>
      <c r="CJ3"/>
      <c r="CK3"/>
      <c r="CL3"/>
      <c r="CM3"/>
      <c r="CN3"/>
      <c r="CO3"/>
      <c r="CP3"/>
    </row>
    <row r="4" spans="1:97" ht="16" thickBot="1" x14ac:dyDescent="0.25">
      <c r="A4" s="70"/>
      <c r="B4" s="71"/>
      <c r="C4" s="61"/>
      <c r="D4" s="96"/>
      <c r="E4" s="97"/>
      <c r="F4" s="97"/>
      <c r="G4" s="97"/>
      <c r="H4" s="98"/>
      <c r="I4" s="99" t="s">
        <v>11</v>
      </c>
      <c r="J4" s="102"/>
      <c r="K4" s="102"/>
      <c r="L4" s="102"/>
      <c r="M4" s="103"/>
      <c r="N4" s="99" t="s">
        <v>87</v>
      </c>
      <c r="O4" s="100"/>
      <c r="P4" s="101"/>
      <c r="Q4" s="99" t="s">
        <v>14</v>
      </c>
      <c r="R4" s="100"/>
      <c r="S4" s="100"/>
      <c r="T4" s="100"/>
      <c r="U4" s="18"/>
      <c r="V4" s="14"/>
      <c r="W4" s="16"/>
      <c r="X4" s="96"/>
      <c r="Y4" s="97"/>
      <c r="Z4" s="97"/>
      <c r="AA4" s="97"/>
      <c r="AB4" s="98"/>
      <c r="AC4" s="105"/>
      <c r="AD4" s="96"/>
      <c r="AE4" s="97"/>
      <c r="AF4" s="97"/>
      <c r="AG4" s="97"/>
      <c r="AH4" s="98"/>
      <c r="AI4" s="96"/>
      <c r="AJ4" s="97"/>
      <c r="AK4" s="97"/>
      <c r="AL4" s="97"/>
      <c r="AM4" s="97"/>
      <c r="AN4" s="97"/>
      <c r="AO4" s="97"/>
      <c r="AP4" s="97"/>
      <c r="AQ4" s="98"/>
      <c r="AR4" s="90"/>
      <c r="AS4" s="91"/>
      <c r="AT4" s="91"/>
      <c r="AU4" s="91"/>
      <c r="AV4" s="91"/>
      <c r="AW4" s="92"/>
      <c r="AX4" s="96"/>
      <c r="AY4" s="97"/>
      <c r="AZ4" s="97"/>
      <c r="BA4" s="98"/>
      <c r="BB4"/>
      <c r="BC4"/>
      <c r="BD4"/>
      <c r="BI4"/>
      <c r="BJ4"/>
      <c r="BW4" s="1"/>
      <c r="BX4" s="24"/>
      <c r="BY4" s="24"/>
      <c r="BZ4" s="24"/>
      <c r="CA4" s="24"/>
      <c r="CB4" s="24"/>
      <c r="CC4" s="24"/>
      <c r="CJ4"/>
      <c r="CK4"/>
      <c r="CL4"/>
      <c r="CM4"/>
      <c r="CN4"/>
      <c r="CO4"/>
      <c r="CP4"/>
    </row>
    <row r="5" spans="1:97" ht="6.75" hidden="1" customHeight="1" x14ac:dyDescent="0.2">
      <c r="BD5" s="44"/>
      <c r="BE5" s="1"/>
      <c r="BF5" s="1"/>
      <c r="BG5" s="1"/>
      <c r="BH5" s="1"/>
      <c r="BK5" s="1"/>
      <c r="BL5" s="1"/>
      <c r="BM5" s="1"/>
      <c r="BN5" s="1"/>
      <c r="BO5" s="1"/>
      <c r="BP5" s="1"/>
      <c r="BQ5" s="1"/>
      <c r="BR5" s="1"/>
      <c r="BS5" s="1"/>
      <c r="BT5" s="1"/>
      <c r="BU5" s="1"/>
      <c r="BV5" s="1"/>
      <c r="BW5" s="1"/>
      <c r="BX5" s="1"/>
      <c r="BY5" s="1"/>
      <c r="BZ5" s="1"/>
      <c r="CA5" s="1"/>
      <c r="CB5" s="1"/>
      <c r="CC5" s="1"/>
      <c r="CD5" s="1"/>
      <c r="CE5" s="1"/>
      <c r="CF5" s="1"/>
      <c r="CG5" s="1"/>
      <c r="CH5" s="1"/>
      <c r="CI5" s="1"/>
      <c r="CQ5" s="1"/>
      <c r="CR5" s="1"/>
      <c r="CS5" s="1"/>
    </row>
    <row r="6" spans="1:97" s="74" customFormat="1" ht="278" thickBot="1" x14ac:dyDescent="0.25">
      <c r="A6" s="73" t="s">
        <v>17</v>
      </c>
      <c r="B6" s="73" t="s">
        <v>149</v>
      </c>
      <c r="C6" s="73" t="s">
        <v>19</v>
      </c>
      <c r="D6" s="77" t="s">
        <v>20</v>
      </c>
      <c r="E6" s="78" t="s">
        <v>141</v>
      </c>
      <c r="F6" s="78" t="s">
        <v>142</v>
      </c>
      <c r="G6" s="78" t="s">
        <v>23</v>
      </c>
      <c r="H6" s="79" t="s">
        <v>24</v>
      </c>
      <c r="I6" s="77" t="s">
        <v>25</v>
      </c>
      <c r="J6" s="78" t="s">
        <v>121</v>
      </c>
      <c r="K6" s="78" t="s">
        <v>122</v>
      </c>
      <c r="L6" s="78" t="s">
        <v>123</v>
      </c>
      <c r="M6" s="78" t="s">
        <v>124</v>
      </c>
      <c r="N6" s="78" t="s">
        <v>26</v>
      </c>
      <c r="O6" s="78" t="s">
        <v>27</v>
      </c>
      <c r="P6" s="78" t="s">
        <v>28</v>
      </c>
      <c r="Q6" s="78" t="s">
        <v>146</v>
      </c>
      <c r="R6" s="78" t="s">
        <v>133</v>
      </c>
      <c r="S6" s="78" t="s">
        <v>134</v>
      </c>
      <c r="T6" s="79" t="s">
        <v>135</v>
      </c>
      <c r="U6" s="80" t="s">
        <v>144</v>
      </c>
      <c r="V6" s="77" t="s">
        <v>105</v>
      </c>
      <c r="W6" s="79" t="s">
        <v>71</v>
      </c>
      <c r="X6" s="77" t="s">
        <v>147</v>
      </c>
      <c r="Y6" s="78" t="s">
        <v>38</v>
      </c>
      <c r="Z6" s="78" t="s">
        <v>140</v>
      </c>
      <c r="AA6" s="78" t="s">
        <v>39</v>
      </c>
      <c r="AB6" s="79" t="s">
        <v>40</v>
      </c>
      <c r="AC6" s="80" t="s">
        <v>143</v>
      </c>
      <c r="AD6" s="77" t="s">
        <v>117</v>
      </c>
      <c r="AE6" s="78" t="s">
        <v>118</v>
      </c>
      <c r="AF6" s="78" t="s">
        <v>119</v>
      </c>
      <c r="AG6" s="78" t="s">
        <v>120</v>
      </c>
      <c r="AH6" s="79" t="s">
        <v>148</v>
      </c>
      <c r="AI6" s="81" t="s">
        <v>46</v>
      </c>
      <c r="AJ6" s="78" t="s">
        <v>47</v>
      </c>
      <c r="AK6" s="78" t="s">
        <v>48</v>
      </c>
      <c r="AL6" s="78" t="s">
        <v>49</v>
      </c>
      <c r="AM6" s="82" t="s">
        <v>50</v>
      </c>
      <c r="AN6" s="78" t="s">
        <v>51</v>
      </c>
      <c r="AO6" s="78" t="s">
        <v>52</v>
      </c>
      <c r="AP6" s="78" t="s">
        <v>103</v>
      </c>
      <c r="AQ6" s="79" t="s">
        <v>53</v>
      </c>
      <c r="AR6" s="77" t="s">
        <v>54</v>
      </c>
      <c r="AS6" s="78" t="s">
        <v>55</v>
      </c>
      <c r="AT6" s="78" t="s">
        <v>56</v>
      </c>
      <c r="AU6" s="78" t="s">
        <v>57</v>
      </c>
      <c r="AV6" s="78" t="s">
        <v>58</v>
      </c>
      <c r="AW6" s="79" t="s">
        <v>59</v>
      </c>
      <c r="AX6" s="77" t="s">
        <v>145</v>
      </c>
      <c r="AY6" s="78" t="s">
        <v>67</v>
      </c>
      <c r="AZ6" s="78" t="s">
        <v>68</v>
      </c>
      <c r="BA6" s="78" t="s">
        <v>69</v>
      </c>
    </row>
    <row r="7" spans="1:97" ht="144" x14ac:dyDescent="0.2">
      <c r="A7" t="s">
        <v>223</v>
      </c>
      <c r="B7" t="s">
        <v>435</v>
      </c>
      <c r="C7" t="s">
        <v>436</v>
      </c>
      <c r="D7" s="1" t="s">
        <v>73</v>
      </c>
      <c r="E7" t="s">
        <v>72</v>
      </c>
      <c r="F7" t="s">
        <v>72</v>
      </c>
      <c r="G7" s="1" t="s">
        <v>73</v>
      </c>
      <c r="J7"/>
      <c r="K7"/>
      <c r="L7"/>
      <c r="M7"/>
      <c r="Q7">
        <v>0</v>
      </c>
      <c r="R7">
        <v>0</v>
      </c>
      <c r="S7">
        <v>0</v>
      </c>
      <c r="T7">
        <v>0</v>
      </c>
      <c r="U7" t="s">
        <v>73</v>
      </c>
      <c r="V7">
        <v>0</v>
      </c>
      <c r="W7" s="1">
        <v>0</v>
      </c>
      <c r="X7">
        <v>0</v>
      </c>
      <c r="Y7" s="1">
        <v>0</v>
      </c>
      <c r="Z7">
        <v>0</v>
      </c>
      <c r="AA7" s="1">
        <v>0</v>
      </c>
      <c r="AB7" s="1">
        <v>0</v>
      </c>
      <c r="AC7" t="s">
        <v>73</v>
      </c>
      <c r="AD7">
        <v>0</v>
      </c>
      <c r="AE7">
        <v>0</v>
      </c>
      <c r="AF7">
        <v>0</v>
      </c>
      <c r="AG7">
        <v>0</v>
      </c>
      <c r="AH7">
        <v>0</v>
      </c>
      <c r="AI7" s="1">
        <v>3</v>
      </c>
      <c r="AJ7" s="1">
        <v>1</v>
      </c>
      <c r="AK7" t="s">
        <v>73</v>
      </c>
      <c r="AL7" t="s">
        <v>73</v>
      </c>
      <c r="AM7" s="42" t="s">
        <v>437</v>
      </c>
      <c r="AN7" t="s">
        <v>438</v>
      </c>
      <c r="AO7" s="56">
        <v>46021.504652777781</v>
      </c>
      <c r="AP7" s="56">
        <v>46021.46298611111</v>
      </c>
      <c r="AQ7" t="s">
        <v>73</v>
      </c>
      <c r="AR7" t="s">
        <v>73</v>
      </c>
      <c r="AS7" t="s">
        <v>73</v>
      </c>
      <c r="AT7" t="s">
        <v>73</v>
      </c>
      <c r="AU7" t="s">
        <v>73</v>
      </c>
      <c r="AV7" t="s">
        <v>73</v>
      </c>
      <c r="AW7">
        <v>0</v>
      </c>
      <c r="AX7" t="s">
        <v>73</v>
      </c>
      <c r="AY7" s="1" t="s">
        <v>158</v>
      </c>
      <c r="AZ7" s="1" t="s">
        <v>158</v>
      </c>
      <c r="BA7" s="1" t="s">
        <v>158</v>
      </c>
      <c r="BB7"/>
      <c r="BC7"/>
      <c r="BD7"/>
      <c r="BI7"/>
      <c r="BJ7"/>
      <c r="CJ7"/>
      <c r="CK7"/>
      <c r="CL7"/>
      <c r="CM7"/>
      <c r="CN7"/>
      <c r="CO7"/>
      <c r="CP7"/>
    </row>
    <row r="8" spans="1:97" ht="16" x14ac:dyDescent="0.2">
      <c r="A8" t="s">
        <v>223</v>
      </c>
      <c r="B8" t="s">
        <v>370</v>
      </c>
      <c r="C8" t="s">
        <v>371</v>
      </c>
      <c r="D8" s="1" t="s">
        <v>73</v>
      </c>
      <c r="E8" t="s">
        <v>72</v>
      </c>
      <c r="F8" t="s">
        <v>72</v>
      </c>
      <c r="G8" s="1" t="s">
        <v>73</v>
      </c>
      <c r="J8"/>
      <c r="K8"/>
      <c r="L8"/>
      <c r="M8"/>
      <c r="Q8">
        <v>0</v>
      </c>
      <c r="R8">
        <v>0</v>
      </c>
      <c r="S8">
        <v>0</v>
      </c>
      <c r="T8">
        <v>0</v>
      </c>
      <c r="U8" t="s">
        <v>73</v>
      </c>
      <c r="V8">
        <v>0</v>
      </c>
      <c r="W8" s="1">
        <v>0</v>
      </c>
      <c r="X8">
        <v>0</v>
      </c>
      <c r="Y8" s="1">
        <v>0</v>
      </c>
      <c r="Z8">
        <v>0</v>
      </c>
      <c r="AA8" s="1">
        <v>0</v>
      </c>
      <c r="AB8" s="1">
        <v>0</v>
      </c>
      <c r="AC8" t="s">
        <v>73</v>
      </c>
      <c r="AD8">
        <v>0</v>
      </c>
      <c r="AE8">
        <v>0</v>
      </c>
      <c r="AF8">
        <v>0</v>
      </c>
      <c r="AG8">
        <v>0</v>
      </c>
      <c r="AH8">
        <v>0</v>
      </c>
      <c r="AI8" s="1">
        <v>10</v>
      </c>
      <c r="AJ8" s="1">
        <v>0</v>
      </c>
      <c r="AK8" t="s">
        <v>73</v>
      </c>
      <c r="AL8" t="s">
        <v>73</v>
      </c>
      <c r="AM8" s="42" t="s">
        <v>73</v>
      </c>
      <c r="AN8" t="s">
        <v>372</v>
      </c>
      <c r="AO8" s="56">
        <v>46015.715069444443</v>
      </c>
      <c r="AP8" s="56">
        <v>46015.673402777778</v>
      </c>
      <c r="AQ8" t="s">
        <v>73</v>
      </c>
      <c r="AR8" t="s">
        <v>73</v>
      </c>
      <c r="AS8" t="s">
        <v>73</v>
      </c>
      <c r="AT8" t="s">
        <v>73</v>
      </c>
      <c r="AU8" t="s">
        <v>73</v>
      </c>
      <c r="AV8" t="s">
        <v>73</v>
      </c>
      <c r="AW8">
        <v>0</v>
      </c>
      <c r="AX8" t="s">
        <v>73</v>
      </c>
      <c r="AY8" s="1" t="s">
        <v>158</v>
      </c>
      <c r="AZ8" s="1" t="s">
        <v>158</v>
      </c>
      <c r="BA8" s="1" t="s">
        <v>158</v>
      </c>
      <c r="BB8"/>
      <c r="BC8"/>
      <c r="BD8"/>
      <c r="BI8"/>
      <c r="BJ8"/>
      <c r="CJ8"/>
      <c r="CK8"/>
      <c r="CL8"/>
      <c r="CM8"/>
      <c r="CN8"/>
      <c r="CO8"/>
      <c r="CP8"/>
    </row>
    <row r="9" spans="1:97" ht="16" x14ac:dyDescent="0.2">
      <c r="A9" t="s">
        <v>223</v>
      </c>
      <c r="B9" t="s">
        <v>338</v>
      </c>
      <c r="C9" t="s">
        <v>339</v>
      </c>
      <c r="D9" s="1" t="s">
        <v>73</v>
      </c>
      <c r="E9" t="s">
        <v>72</v>
      </c>
      <c r="F9" t="s">
        <v>72</v>
      </c>
      <c r="G9" s="1" t="s">
        <v>73</v>
      </c>
      <c r="J9"/>
      <c r="K9"/>
      <c r="L9"/>
      <c r="M9"/>
      <c r="Q9">
        <v>0</v>
      </c>
      <c r="R9">
        <v>0</v>
      </c>
      <c r="S9">
        <v>0</v>
      </c>
      <c r="T9">
        <v>0</v>
      </c>
      <c r="U9" t="s">
        <v>73</v>
      </c>
      <c r="V9">
        <v>0</v>
      </c>
      <c r="W9" s="1">
        <v>0</v>
      </c>
      <c r="X9">
        <v>0</v>
      </c>
      <c r="Y9" s="1">
        <v>0</v>
      </c>
      <c r="Z9">
        <v>0</v>
      </c>
      <c r="AA9" s="1">
        <v>0</v>
      </c>
      <c r="AB9" s="1">
        <v>0</v>
      </c>
      <c r="AC9" t="s">
        <v>73</v>
      </c>
      <c r="AD9">
        <v>0</v>
      </c>
      <c r="AE9">
        <v>0</v>
      </c>
      <c r="AF9">
        <v>0</v>
      </c>
      <c r="AG9">
        <v>0</v>
      </c>
      <c r="AH9">
        <v>0</v>
      </c>
      <c r="AI9" s="1">
        <v>1</v>
      </c>
      <c r="AJ9" s="1">
        <v>1</v>
      </c>
      <c r="AK9" t="s">
        <v>73</v>
      </c>
      <c r="AL9" t="s">
        <v>73</v>
      </c>
      <c r="AM9" s="42" t="s">
        <v>73</v>
      </c>
      <c r="AN9" t="s">
        <v>340</v>
      </c>
      <c r="AO9" s="56">
        <v>46013.519826388889</v>
      </c>
      <c r="AP9" s="56">
        <v>46013.478159722225</v>
      </c>
      <c r="AQ9" t="s">
        <v>73</v>
      </c>
      <c r="AR9" t="s">
        <v>73</v>
      </c>
      <c r="AS9" t="s">
        <v>73</v>
      </c>
      <c r="AT9" t="s">
        <v>73</v>
      </c>
      <c r="AU9" t="s">
        <v>73</v>
      </c>
      <c r="AV9" t="s">
        <v>73</v>
      </c>
      <c r="AW9">
        <v>0</v>
      </c>
      <c r="AX9" t="s">
        <v>73</v>
      </c>
      <c r="AY9" s="1" t="s">
        <v>158</v>
      </c>
      <c r="AZ9" s="1" t="s">
        <v>158</v>
      </c>
      <c r="BA9" s="1" t="s">
        <v>158</v>
      </c>
      <c r="BB9"/>
      <c r="BC9"/>
      <c r="BD9"/>
      <c r="BI9"/>
      <c r="BJ9"/>
      <c r="CJ9"/>
      <c r="CK9"/>
      <c r="CL9"/>
      <c r="CM9"/>
      <c r="CN9"/>
      <c r="CO9"/>
      <c r="CP9"/>
    </row>
    <row r="10" spans="1:97" ht="32" x14ac:dyDescent="0.2">
      <c r="A10" t="s">
        <v>223</v>
      </c>
      <c r="B10" t="s">
        <v>341</v>
      </c>
      <c r="C10" t="s">
        <v>342</v>
      </c>
      <c r="D10" s="1" t="s">
        <v>73</v>
      </c>
      <c r="E10" t="s">
        <v>72</v>
      </c>
      <c r="F10" t="s">
        <v>72</v>
      </c>
      <c r="G10" s="1" t="s">
        <v>73</v>
      </c>
      <c r="J10"/>
      <c r="K10"/>
      <c r="L10"/>
      <c r="M10"/>
      <c r="Q10">
        <v>0</v>
      </c>
      <c r="R10">
        <v>0</v>
      </c>
      <c r="S10">
        <v>0</v>
      </c>
      <c r="T10">
        <v>0</v>
      </c>
      <c r="U10" t="s">
        <v>73</v>
      </c>
      <c r="V10">
        <v>0</v>
      </c>
      <c r="W10" s="1">
        <v>0</v>
      </c>
      <c r="X10">
        <v>0</v>
      </c>
      <c r="Y10" s="1">
        <v>0</v>
      </c>
      <c r="Z10">
        <v>0</v>
      </c>
      <c r="AA10" s="1">
        <v>0</v>
      </c>
      <c r="AB10" s="1">
        <v>0</v>
      </c>
      <c r="AC10" t="s">
        <v>73</v>
      </c>
      <c r="AD10">
        <v>0</v>
      </c>
      <c r="AE10">
        <v>0</v>
      </c>
      <c r="AF10">
        <v>0</v>
      </c>
      <c r="AG10">
        <v>0</v>
      </c>
      <c r="AH10">
        <v>0</v>
      </c>
      <c r="AI10" s="1">
        <v>35</v>
      </c>
      <c r="AJ10" s="1">
        <v>4</v>
      </c>
      <c r="AK10" t="s">
        <v>73</v>
      </c>
      <c r="AL10" t="s">
        <v>73</v>
      </c>
      <c r="AM10" s="42" t="s">
        <v>343</v>
      </c>
      <c r="AN10" t="s">
        <v>344</v>
      </c>
      <c r="AO10" s="56">
        <v>46013.473368055558</v>
      </c>
      <c r="AP10" s="56">
        <v>46013.431701388887</v>
      </c>
      <c r="AQ10" t="s">
        <v>73</v>
      </c>
      <c r="AR10" t="s">
        <v>73</v>
      </c>
      <c r="AS10" t="s">
        <v>73</v>
      </c>
      <c r="AT10" t="s">
        <v>73</v>
      </c>
      <c r="AU10" t="s">
        <v>73</v>
      </c>
      <c r="AV10" t="s">
        <v>73</v>
      </c>
      <c r="AW10">
        <v>0</v>
      </c>
      <c r="AX10" t="s">
        <v>73</v>
      </c>
      <c r="AY10" s="1" t="s">
        <v>158</v>
      </c>
      <c r="AZ10" s="1" t="s">
        <v>158</v>
      </c>
      <c r="BA10" s="1" t="s">
        <v>158</v>
      </c>
      <c r="BB10"/>
      <c r="BC10"/>
      <c r="BD10"/>
      <c r="BI10"/>
      <c r="BJ10"/>
      <c r="CJ10"/>
      <c r="CK10"/>
      <c r="CL10"/>
      <c r="CM10"/>
      <c r="CN10"/>
      <c r="CO10"/>
      <c r="CP10"/>
    </row>
    <row r="11" spans="1:97" ht="16" x14ac:dyDescent="0.2">
      <c r="A11" t="s">
        <v>223</v>
      </c>
      <c r="B11" t="s">
        <v>275</v>
      </c>
      <c r="C11" t="s">
        <v>276</v>
      </c>
      <c r="D11" s="1" t="s">
        <v>73</v>
      </c>
      <c r="E11" t="s">
        <v>72</v>
      </c>
      <c r="F11" t="s">
        <v>72</v>
      </c>
      <c r="G11" s="1" t="s">
        <v>73</v>
      </c>
      <c r="J11"/>
      <c r="K11"/>
      <c r="L11"/>
      <c r="M11"/>
      <c r="Q11">
        <v>0</v>
      </c>
      <c r="R11">
        <v>0</v>
      </c>
      <c r="S11">
        <v>0</v>
      </c>
      <c r="T11">
        <v>0</v>
      </c>
      <c r="U11" t="s">
        <v>73</v>
      </c>
      <c r="V11">
        <v>0</v>
      </c>
      <c r="W11" s="1">
        <v>0</v>
      </c>
      <c r="X11">
        <v>0</v>
      </c>
      <c r="Y11" s="1">
        <v>0</v>
      </c>
      <c r="Z11">
        <v>0</v>
      </c>
      <c r="AA11" s="1">
        <v>0</v>
      </c>
      <c r="AB11" s="1">
        <v>0</v>
      </c>
      <c r="AC11" t="s">
        <v>73</v>
      </c>
      <c r="AD11">
        <v>0</v>
      </c>
      <c r="AE11">
        <v>0</v>
      </c>
      <c r="AF11">
        <v>0</v>
      </c>
      <c r="AG11">
        <v>0</v>
      </c>
      <c r="AH11">
        <v>0</v>
      </c>
      <c r="AI11" s="1">
        <v>16</v>
      </c>
      <c r="AJ11" s="1">
        <v>1</v>
      </c>
      <c r="AK11" t="s">
        <v>73</v>
      </c>
      <c r="AL11" t="s">
        <v>73</v>
      </c>
      <c r="AM11" s="42" t="s">
        <v>277</v>
      </c>
      <c r="AN11" t="s">
        <v>278</v>
      </c>
      <c r="AO11" s="56">
        <v>46006.740833333337</v>
      </c>
      <c r="AP11" s="56">
        <v>46006.699166666665</v>
      </c>
      <c r="AQ11" t="s">
        <v>73</v>
      </c>
      <c r="AR11" t="s">
        <v>73</v>
      </c>
      <c r="AS11" t="s">
        <v>73</v>
      </c>
      <c r="AT11" t="s">
        <v>73</v>
      </c>
      <c r="AU11" t="s">
        <v>73</v>
      </c>
      <c r="AV11" t="s">
        <v>73</v>
      </c>
      <c r="AW11">
        <v>0</v>
      </c>
      <c r="AX11" t="s">
        <v>73</v>
      </c>
      <c r="AY11" s="1" t="s">
        <v>158</v>
      </c>
      <c r="AZ11" s="1" t="s">
        <v>158</v>
      </c>
      <c r="BA11" s="1" t="s">
        <v>158</v>
      </c>
      <c r="BB11"/>
      <c r="BC11"/>
      <c r="BD11"/>
      <c r="BI11"/>
      <c r="BJ11"/>
      <c r="CJ11"/>
      <c r="CK11"/>
      <c r="CL11"/>
      <c r="CM11"/>
      <c r="CN11"/>
      <c r="CO11"/>
      <c r="CP11"/>
    </row>
    <row r="12" spans="1:97" ht="16" x14ac:dyDescent="0.2">
      <c r="A12" t="s">
        <v>223</v>
      </c>
      <c r="B12" t="s">
        <v>279</v>
      </c>
      <c r="C12" t="s">
        <v>280</v>
      </c>
      <c r="D12" s="1" t="s">
        <v>73</v>
      </c>
      <c r="E12" t="s">
        <v>72</v>
      </c>
      <c r="F12" t="s">
        <v>72</v>
      </c>
      <c r="G12" s="1" t="s">
        <v>73</v>
      </c>
      <c r="J12"/>
      <c r="K12"/>
      <c r="L12"/>
      <c r="M12"/>
      <c r="Q12">
        <v>0</v>
      </c>
      <c r="R12">
        <v>0</v>
      </c>
      <c r="S12">
        <v>0</v>
      </c>
      <c r="T12">
        <v>0</v>
      </c>
      <c r="U12" t="s">
        <v>73</v>
      </c>
      <c r="V12">
        <v>0</v>
      </c>
      <c r="W12" s="1">
        <v>0</v>
      </c>
      <c r="X12">
        <v>0</v>
      </c>
      <c r="Y12" s="1">
        <v>0</v>
      </c>
      <c r="Z12">
        <v>0</v>
      </c>
      <c r="AA12" s="1">
        <v>0</v>
      </c>
      <c r="AB12" s="1">
        <v>0</v>
      </c>
      <c r="AC12" t="s">
        <v>73</v>
      </c>
      <c r="AD12">
        <v>0</v>
      </c>
      <c r="AE12">
        <v>0</v>
      </c>
      <c r="AF12">
        <v>0</v>
      </c>
      <c r="AG12">
        <v>0</v>
      </c>
      <c r="AH12">
        <v>0</v>
      </c>
      <c r="AI12" s="1">
        <v>2</v>
      </c>
      <c r="AJ12" s="1">
        <v>0</v>
      </c>
      <c r="AK12" t="s">
        <v>73</v>
      </c>
      <c r="AL12" t="s">
        <v>73</v>
      </c>
      <c r="AM12" s="42" t="s">
        <v>73</v>
      </c>
      <c r="AN12" t="s">
        <v>281</v>
      </c>
      <c r="AO12" s="56">
        <v>46006.457418981481</v>
      </c>
      <c r="AP12" s="56">
        <v>46006.415752314817</v>
      </c>
      <c r="AQ12" t="s">
        <v>73</v>
      </c>
      <c r="AR12" t="s">
        <v>73</v>
      </c>
      <c r="AS12" t="s">
        <v>73</v>
      </c>
      <c r="AT12" t="s">
        <v>73</v>
      </c>
      <c r="AU12" t="s">
        <v>73</v>
      </c>
      <c r="AV12" t="s">
        <v>73</v>
      </c>
      <c r="AW12">
        <v>0</v>
      </c>
      <c r="AX12" t="s">
        <v>73</v>
      </c>
      <c r="AY12" s="1" t="s">
        <v>158</v>
      </c>
      <c r="AZ12" s="1" t="s">
        <v>158</v>
      </c>
      <c r="BA12" s="1" t="s">
        <v>158</v>
      </c>
      <c r="BB12"/>
      <c r="BC12"/>
      <c r="BD12"/>
      <c r="BI12"/>
      <c r="BJ12"/>
      <c r="CJ12"/>
      <c r="CK12"/>
      <c r="CL12"/>
      <c r="CM12"/>
      <c r="CN12"/>
      <c r="CO12"/>
      <c r="CP12"/>
    </row>
    <row r="13" spans="1:97" ht="16" x14ac:dyDescent="0.2">
      <c r="A13" t="s">
        <v>223</v>
      </c>
      <c r="B13" t="s">
        <v>248</v>
      </c>
      <c r="C13" t="s">
        <v>249</v>
      </c>
      <c r="D13" s="1" t="s">
        <v>73</v>
      </c>
      <c r="E13" t="s">
        <v>72</v>
      </c>
      <c r="F13" t="s">
        <v>72</v>
      </c>
      <c r="G13" s="1" t="s">
        <v>73</v>
      </c>
      <c r="J13"/>
      <c r="K13"/>
      <c r="L13"/>
      <c r="M13"/>
      <c r="Q13">
        <v>0</v>
      </c>
      <c r="R13">
        <v>0</v>
      </c>
      <c r="S13">
        <v>0</v>
      </c>
      <c r="T13">
        <v>0</v>
      </c>
      <c r="U13" t="s">
        <v>73</v>
      </c>
      <c r="V13">
        <v>0</v>
      </c>
      <c r="W13" s="1">
        <v>0</v>
      </c>
      <c r="X13">
        <v>0</v>
      </c>
      <c r="Y13" s="1">
        <v>0</v>
      </c>
      <c r="Z13">
        <v>0</v>
      </c>
      <c r="AA13" s="1">
        <v>0</v>
      </c>
      <c r="AB13" s="1">
        <v>0</v>
      </c>
      <c r="AC13" t="s">
        <v>73</v>
      </c>
      <c r="AD13">
        <v>0</v>
      </c>
      <c r="AE13">
        <v>0</v>
      </c>
      <c r="AF13">
        <v>0</v>
      </c>
      <c r="AG13">
        <v>0</v>
      </c>
      <c r="AH13">
        <v>0</v>
      </c>
      <c r="AI13" s="1">
        <v>46</v>
      </c>
      <c r="AJ13" s="1">
        <v>46</v>
      </c>
      <c r="AK13" t="s">
        <v>73</v>
      </c>
      <c r="AL13" t="s">
        <v>73</v>
      </c>
      <c r="AM13" s="42" t="s">
        <v>73</v>
      </c>
      <c r="AN13" t="s">
        <v>250</v>
      </c>
      <c r="AO13" s="56">
        <v>46005.58252314815</v>
      </c>
      <c r="AP13" s="56">
        <v>46005.540856481479</v>
      </c>
      <c r="AQ13" t="s">
        <v>73</v>
      </c>
      <c r="AR13" t="s">
        <v>73</v>
      </c>
      <c r="AS13" t="s">
        <v>73</v>
      </c>
      <c r="AT13" t="s">
        <v>73</v>
      </c>
      <c r="AU13" t="s">
        <v>73</v>
      </c>
      <c r="AV13" t="s">
        <v>73</v>
      </c>
      <c r="AW13">
        <v>0</v>
      </c>
      <c r="AX13" t="s">
        <v>73</v>
      </c>
      <c r="AY13" s="1" t="s">
        <v>158</v>
      </c>
      <c r="AZ13" s="1" t="s">
        <v>158</v>
      </c>
      <c r="BA13" s="1" t="s">
        <v>158</v>
      </c>
      <c r="BB13"/>
      <c r="BC13"/>
      <c r="BD13"/>
      <c r="BI13"/>
      <c r="BJ13"/>
      <c r="CJ13"/>
      <c r="CK13"/>
      <c r="CL13"/>
      <c r="CM13"/>
      <c r="CN13"/>
      <c r="CO13"/>
      <c r="CP13"/>
    </row>
    <row r="14" spans="1:97" ht="16" x14ac:dyDescent="0.2">
      <c r="A14" t="s">
        <v>223</v>
      </c>
      <c r="B14" t="s">
        <v>251</v>
      </c>
      <c r="C14" t="s">
        <v>252</v>
      </c>
      <c r="D14" s="1" t="s">
        <v>73</v>
      </c>
      <c r="E14" t="s">
        <v>72</v>
      </c>
      <c r="F14" t="s">
        <v>73</v>
      </c>
      <c r="G14" s="1" t="s">
        <v>73</v>
      </c>
      <c r="J14"/>
      <c r="K14"/>
      <c r="L14"/>
      <c r="M14"/>
      <c r="Q14">
        <v>0</v>
      </c>
      <c r="R14">
        <v>0</v>
      </c>
      <c r="S14">
        <v>0</v>
      </c>
      <c r="T14">
        <v>0</v>
      </c>
      <c r="U14" t="s">
        <v>73</v>
      </c>
      <c r="V14">
        <v>0</v>
      </c>
      <c r="W14" s="1">
        <v>0</v>
      </c>
      <c r="X14">
        <v>0</v>
      </c>
      <c r="Y14" s="1">
        <v>0</v>
      </c>
      <c r="Z14">
        <v>0</v>
      </c>
      <c r="AA14" s="1">
        <v>0</v>
      </c>
      <c r="AB14" s="1">
        <v>0</v>
      </c>
      <c r="AC14" t="s">
        <v>73</v>
      </c>
      <c r="AD14">
        <v>0</v>
      </c>
      <c r="AE14">
        <v>0</v>
      </c>
      <c r="AF14">
        <v>0</v>
      </c>
      <c r="AG14">
        <v>0</v>
      </c>
      <c r="AH14">
        <v>0</v>
      </c>
      <c r="AI14" s="1">
        <v>90</v>
      </c>
      <c r="AJ14" s="1">
        <v>0</v>
      </c>
      <c r="AK14" t="s">
        <v>73</v>
      </c>
      <c r="AL14" t="s">
        <v>73</v>
      </c>
      <c r="AM14" s="42" t="s">
        <v>73</v>
      </c>
      <c r="AN14" t="s">
        <v>253</v>
      </c>
      <c r="AO14" s="56">
        <v>46005.544618055559</v>
      </c>
      <c r="AP14" s="56">
        <v>46005.502951388888</v>
      </c>
      <c r="AQ14" t="s">
        <v>73</v>
      </c>
      <c r="AR14" t="s">
        <v>73</v>
      </c>
      <c r="AS14" t="s">
        <v>73</v>
      </c>
      <c r="AT14" t="s">
        <v>73</v>
      </c>
      <c r="AU14" t="s">
        <v>73</v>
      </c>
      <c r="AV14" t="s">
        <v>73</v>
      </c>
      <c r="AW14">
        <v>0</v>
      </c>
      <c r="AX14" t="s">
        <v>73</v>
      </c>
      <c r="AY14" s="1" t="s">
        <v>158</v>
      </c>
      <c r="AZ14" s="1" t="s">
        <v>158</v>
      </c>
      <c r="BA14" s="1" t="s">
        <v>158</v>
      </c>
      <c r="BB14"/>
      <c r="BC14"/>
      <c r="BD14"/>
      <c r="BI14"/>
      <c r="BJ14"/>
      <c r="CJ14"/>
      <c r="CK14"/>
      <c r="CL14"/>
      <c r="CM14"/>
      <c r="CN14"/>
      <c r="CO14"/>
      <c r="CP14"/>
    </row>
    <row r="15" spans="1:97" ht="16" x14ac:dyDescent="0.2">
      <c r="A15" t="s">
        <v>223</v>
      </c>
      <c r="B15" t="s">
        <v>224</v>
      </c>
      <c r="C15" t="s">
        <v>225</v>
      </c>
      <c r="D15" s="1" t="s">
        <v>73</v>
      </c>
      <c r="E15" t="s">
        <v>72</v>
      </c>
      <c r="F15" t="s">
        <v>72</v>
      </c>
      <c r="G15" s="1" t="s">
        <v>73</v>
      </c>
      <c r="J15"/>
      <c r="K15"/>
      <c r="L15"/>
      <c r="M15"/>
      <c r="Q15">
        <v>0</v>
      </c>
      <c r="R15">
        <v>0</v>
      </c>
      <c r="S15">
        <v>0</v>
      </c>
      <c r="T15">
        <v>0</v>
      </c>
      <c r="U15" t="s">
        <v>73</v>
      </c>
      <c r="V15">
        <v>0</v>
      </c>
      <c r="W15" s="1">
        <v>0</v>
      </c>
      <c r="X15">
        <v>0</v>
      </c>
      <c r="Y15" s="1">
        <v>0</v>
      </c>
      <c r="Z15">
        <v>0</v>
      </c>
      <c r="AA15" s="1">
        <v>0</v>
      </c>
      <c r="AB15" s="1">
        <v>0</v>
      </c>
      <c r="AC15" t="s">
        <v>73</v>
      </c>
      <c r="AD15">
        <v>0</v>
      </c>
      <c r="AE15">
        <v>0</v>
      </c>
      <c r="AF15">
        <v>0</v>
      </c>
      <c r="AG15">
        <v>0</v>
      </c>
      <c r="AH15">
        <v>0</v>
      </c>
      <c r="AI15" s="1">
        <v>2</v>
      </c>
      <c r="AJ15" s="1">
        <v>1</v>
      </c>
      <c r="AK15" t="s">
        <v>73</v>
      </c>
      <c r="AL15" t="s">
        <v>73</v>
      </c>
      <c r="AM15" s="42" t="s">
        <v>226</v>
      </c>
      <c r="AN15" t="s">
        <v>227</v>
      </c>
      <c r="AO15" s="56">
        <v>46003.773634259262</v>
      </c>
      <c r="AP15" s="56">
        <v>46003.73196759259</v>
      </c>
      <c r="AQ15" t="s">
        <v>73</v>
      </c>
      <c r="AR15" t="s">
        <v>73</v>
      </c>
      <c r="AS15" t="s">
        <v>73</v>
      </c>
      <c r="AT15" t="s">
        <v>73</v>
      </c>
      <c r="AU15" t="s">
        <v>73</v>
      </c>
      <c r="AV15" t="s">
        <v>73</v>
      </c>
      <c r="AW15">
        <v>0</v>
      </c>
      <c r="AX15" t="s">
        <v>73</v>
      </c>
      <c r="AY15" s="1" t="s">
        <v>158</v>
      </c>
      <c r="AZ15" s="1" t="s">
        <v>158</v>
      </c>
      <c r="BA15" s="1" t="s">
        <v>158</v>
      </c>
      <c r="BB15"/>
      <c r="BC15"/>
      <c r="BD15"/>
      <c r="BI15"/>
      <c r="BJ15"/>
      <c r="CJ15"/>
      <c r="CK15"/>
      <c r="CL15"/>
      <c r="CM15"/>
      <c r="CN15"/>
      <c r="CO15"/>
      <c r="CP15"/>
    </row>
    <row r="16" spans="1:97" ht="16" x14ac:dyDescent="0.2">
      <c r="A16" t="s">
        <v>223</v>
      </c>
      <c r="B16" t="s">
        <v>203</v>
      </c>
      <c r="C16" t="s">
        <v>204</v>
      </c>
      <c r="D16" s="1" t="s">
        <v>73</v>
      </c>
      <c r="E16" t="s">
        <v>72</v>
      </c>
      <c r="F16" t="s">
        <v>72</v>
      </c>
      <c r="G16" s="1" t="s">
        <v>73</v>
      </c>
      <c r="J16"/>
      <c r="K16"/>
      <c r="L16"/>
      <c r="M16"/>
      <c r="Q16">
        <v>0</v>
      </c>
      <c r="R16">
        <v>0</v>
      </c>
      <c r="S16">
        <v>0</v>
      </c>
      <c r="T16">
        <v>0</v>
      </c>
      <c r="U16" t="s">
        <v>73</v>
      </c>
      <c r="V16">
        <v>0</v>
      </c>
      <c r="W16" s="1">
        <v>0</v>
      </c>
      <c r="X16">
        <v>0</v>
      </c>
      <c r="Y16" s="1">
        <v>0</v>
      </c>
      <c r="Z16">
        <v>0</v>
      </c>
      <c r="AA16" s="1">
        <v>0</v>
      </c>
      <c r="AB16" s="1">
        <v>0</v>
      </c>
      <c r="AC16" t="s">
        <v>73</v>
      </c>
      <c r="AD16">
        <v>0</v>
      </c>
      <c r="AE16">
        <v>0</v>
      </c>
      <c r="AF16">
        <v>0</v>
      </c>
      <c r="AG16">
        <v>0</v>
      </c>
      <c r="AH16">
        <v>0</v>
      </c>
      <c r="AI16" s="1">
        <v>15</v>
      </c>
      <c r="AJ16" s="1">
        <v>2</v>
      </c>
      <c r="AK16" t="s">
        <v>73</v>
      </c>
      <c r="AL16" t="s">
        <v>73</v>
      </c>
      <c r="AM16" s="42" t="s">
        <v>73</v>
      </c>
      <c r="AN16" t="s">
        <v>205</v>
      </c>
      <c r="AO16" s="56">
        <v>46001.816770833335</v>
      </c>
      <c r="AP16" s="56">
        <v>46002.760763888888</v>
      </c>
      <c r="AQ16" t="s">
        <v>73</v>
      </c>
      <c r="AR16" t="s">
        <v>73</v>
      </c>
      <c r="AS16" t="s">
        <v>73</v>
      </c>
      <c r="AT16" t="s">
        <v>73</v>
      </c>
      <c r="AU16" t="s">
        <v>73</v>
      </c>
      <c r="AV16" t="s">
        <v>73</v>
      </c>
      <c r="AW16">
        <v>0</v>
      </c>
      <c r="AX16" t="s">
        <v>73</v>
      </c>
      <c r="AY16" s="1" t="s">
        <v>158</v>
      </c>
      <c r="AZ16" s="1" t="s">
        <v>158</v>
      </c>
      <c r="BA16" s="1" t="s">
        <v>158</v>
      </c>
      <c r="BB16"/>
      <c r="BC16"/>
      <c r="BD16"/>
      <c r="BI16"/>
      <c r="BJ16"/>
      <c r="CJ16"/>
      <c r="CK16"/>
      <c r="CL16"/>
      <c r="CM16"/>
      <c r="CN16"/>
      <c r="CO16"/>
      <c r="CP16"/>
    </row>
    <row r="17" spans="1:94" ht="16" x14ac:dyDescent="0.2">
      <c r="A17" t="s">
        <v>223</v>
      </c>
      <c r="B17" t="s">
        <v>199</v>
      </c>
      <c r="C17" t="s">
        <v>200</v>
      </c>
      <c r="D17" s="1" t="s">
        <v>73</v>
      </c>
      <c r="E17" t="s">
        <v>72</v>
      </c>
      <c r="F17" t="s">
        <v>73</v>
      </c>
      <c r="G17" s="1" t="s">
        <v>73</v>
      </c>
      <c r="J17"/>
      <c r="K17"/>
      <c r="L17"/>
      <c r="M17"/>
      <c r="Q17">
        <v>0</v>
      </c>
      <c r="R17">
        <v>0</v>
      </c>
      <c r="S17">
        <v>0</v>
      </c>
      <c r="T17">
        <v>0</v>
      </c>
      <c r="U17" t="s">
        <v>73</v>
      </c>
      <c r="V17">
        <v>0</v>
      </c>
      <c r="W17" s="1">
        <v>0</v>
      </c>
      <c r="X17">
        <v>0</v>
      </c>
      <c r="Y17" s="1">
        <v>0</v>
      </c>
      <c r="Z17">
        <v>0</v>
      </c>
      <c r="AA17" s="1">
        <v>0</v>
      </c>
      <c r="AB17" s="1">
        <v>0</v>
      </c>
      <c r="AC17" t="s">
        <v>73</v>
      </c>
      <c r="AD17">
        <v>0</v>
      </c>
      <c r="AE17">
        <v>0</v>
      </c>
      <c r="AF17">
        <v>0</v>
      </c>
      <c r="AG17">
        <v>0</v>
      </c>
      <c r="AH17">
        <v>0</v>
      </c>
      <c r="AI17" s="1">
        <v>2</v>
      </c>
      <c r="AJ17" s="1">
        <v>0</v>
      </c>
      <c r="AK17" t="s">
        <v>73</v>
      </c>
      <c r="AL17" t="s">
        <v>73</v>
      </c>
      <c r="AM17" s="42" t="s">
        <v>73</v>
      </c>
      <c r="AN17" t="s">
        <v>202</v>
      </c>
      <c r="AO17" s="56">
        <v>46000.935324074075</v>
      </c>
      <c r="AP17" s="56">
        <v>46002.760567129626</v>
      </c>
      <c r="AQ17" t="s">
        <v>73</v>
      </c>
      <c r="AR17" t="s">
        <v>73</v>
      </c>
      <c r="AS17" t="s">
        <v>73</v>
      </c>
      <c r="AT17" t="s">
        <v>73</v>
      </c>
      <c r="AU17" t="s">
        <v>73</v>
      </c>
      <c r="AV17" t="s">
        <v>73</v>
      </c>
      <c r="AW17">
        <v>0</v>
      </c>
      <c r="AX17" t="s">
        <v>73</v>
      </c>
      <c r="AY17" s="1" t="s">
        <v>158</v>
      </c>
      <c r="AZ17" s="1" t="s">
        <v>158</v>
      </c>
      <c r="BA17" s="1" t="s">
        <v>158</v>
      </c>
      <c r="BB17"/>
      <c r="BC17"/>
      <c r="BD17"/>
      <c r="BI17"/>
      <c r="BJ17"/>
      <c r="CJ17"/>
      <c r="CK17"/>
      <c r="CL17"/>
      <c r="CM17"/>
      <c r="CN17"/>
      <c r="CO17"/>
      <c r="CP17"/>
    </row>
    <row r="18" spans="1:94" ht="16" x14ac:dyDescent="0.2">
      <c r="A18" t="s">
        <v>223</v>
      </c>
      <c r="B18" t="s">
        <v>192</v>
      </c>
      <c r="C18" t="s">
        <v>193</v>
      </c>
      <c r="D18" s="1" t="s">
        <v>73</v>
      </c>
      <c r="E18" t="s">
        <v>72</v>
      </c>
      <c r="F18" t="s">
        <v>72</v>
      </c>
      <c r="G18" s="1" t="s">
        <v>73</v>
      </c>
      <c r="J18"/>
      <c r="K18"/>
      <c r="L18"/>
      <c r="M18"/>
      <c r="Q18">
        <v>0</v>
      </c>
      <c r="R18">
        <v>0</v>
      </c>
      <c r="S18">
        <v>0</v>
      </c>
      <c r="T18">
        <v>0</v>
      </c>
      <c r="U18" t="s">
        <v>73</v>
      </c>
      <c r="V18">
        <v>0</v>
      </c>
      <c r="W18" s="1">
        <v>0</v>
      </c>
      <c r="X18">
        <v>0</v>
      </c>
      <c r="Y18" s="1">
        <v>0</v>
      </c>
      <c r="Z18">
        <v>0</v>
      </c>
      <c r="AA18" s="1">
        <v>0</v>
      </c>
      <c r="AB18" s="1">
        <v>0</v>
      </c>
      <c r="AC18" t="s">
        <v>73</v>
      </c>
      <c r="AD18">
        <v>0</v>
      </c>
      <c r="AE18">
        <v>0</v>
      </c>
      <c r="AF18">
        <v>0</v>
      </c>
      <c r="AG18">
        <v>0</v>
      </c>
      <c r="AH18">
        <v>0</v>
      </c>
      <c r="AI18" s="1">
        <v>20</v>
      </c>
      <c r="AJ18" s="1">
        <v>1</v>
      </c>
      <c r="AK18" t="s">
        <v>73</v>
      </c>
      <c r="AL18" t="s">
        <v>73</v>
      </c>
      <c r="AM18" s="42" t="s">
        <v>73</v>
      </c>
      <c r="AN18" t="s">
        <v>194</v>
      </c>
      <c r="AO18" s="56">
        <v>45999.857777777775</v>
      </c>
      <c r="AP18" s="56">
        <v>46002.760289351849</v>
      </c>
      <c r="AQ18" t="s">
        <v>73</v>
      </c>
      <c r="AR18" t="s">
        <v>73</v>
      </c>
      <c r="AS18" t="s">
        <v>73</v>
      </c>
      <c r="AT18" t="s">
        <v>73</v>
      </c>
      <c r="AU18" t="s">
        <v>73</v>
      </c>
      <c r="AV18" t="s">
        <v>73</v>
      </c>
      <c r="AW18">
        <v>0</v>
      </c>
      <c r="AX18" t="s">
        <v>73</v>
      </c>
      <c r="AY18" s="1" t="s">
        <v>158</v>
      </c>
      <c r="AZ18" s="1" t="s">
        <v>158</v>
      </c>
      <c r="BA18" s="1" t="s">
        <v>158</v>
      </c>
      <c r="BB18"/>
      <c r="BC18"/>
      <c r="BD18"/>
      <c r="BI18"/>
      <c r="BJ18"/>
      <c r="CJ18"/>
      <c r="CK18"/>
      <c r="CL18"/>
      <c r="CM18"/>
      <c r="CN18"/>
      <c r="CO18"/>
      <c r="CP18"/>
    </row>
    <row r="19" spans="1:94" x14ac:dyDescent="0.2">
      <c r="A19" t="s">
        <v>79</v>
      </c>
      <c r="C19">
        <f>SUBTOTAL(103,KDRvNB[Naam vereniging])</f>
        <v>12</v>
      </c>
      <c r="D19" s="1">
        <f>COUNTIF(KDRvNB[Delegatie],"x")</f>
        <v>0</v>
      </c>
      <c r="E19" s="1">
        <f>COUNTIF(KDRvNB[Muziekkorps tijdens mars en defilé],"x")</f>
        <v>12</v>
      </c>
      <c r="F19" s="1">
        <f>COUNTIF(KDRvNB[Deelname jeugdkoningschieten],"x")</f>
        <v>10</v>
      </c>
      <c r="G19" s="7">
        <f>COUNTIF(KDRvNB[Maj. Senioren jureren bij mars],"x")</f>
        <v>0</v>
      </c>
      <c r="H19" s="7">
        <f>COUNTIF(KDRvNB[Maj. Jeugd jureren bij mars],"x")</f>
        <v>0</v>
      </c>
      <c r="I19" s="1">
        <f>SUBTOTAL(109,KDRvNB[Korps senioren])</f>
        <v>0</v>
      </c>
      <c r="J19" s="1">
        <f>SUBTOTAL(109,KDRvNB[Junioren korps 1])</f>
        <v>0</v>
      </c>
      <c r="K19" s="1">
        <f>SUBTOTAL(109,KDRvNB[Junioren korps 2])</f>
        <v>0</v>
      </c>
      <c r="L19" s="1">
        <f>SUBTOTAL(109,KDRvNB[Aspiranten korps 1])</f>
        <v>0</v>
      </c>
      <c r="M19" s="1">
        <f>SUBTOTAL(109,KDRvNB[Aspiranten korps 2])</f>
        <v>0</v>
      </c>
      <c r="N19" s="1">
        <f>SUBTOTAL(109,KDRvNB[Acrobatisch senioren])</f>
        <v>0</v>
      </c>
      <c r="O19" s="1">
        <f>SUBTOTAL(109,KDRvNB[Acrobatisch junioren])</f>
        <v>0</v>
      </c>
      <c r="P19" s="1">
        <f>SUBTOTAL(109,KDRvNB[Acrobatisch aspiranten])</f>
        <v>0</v>
      </c>
      <c r="Q19">
        <f>SUBTOTAL(109,KDRvNB[Opgeven vendeliers ind.])</f>
        <v>0</v>
      </c>
      <c r="R19">
        <f>SUBTOTAL(109,KDRvNB[Acrob. senioren indiv.])</f>
        <v>0</v>
      </c>
      <c r="S19">
        <f>SUBTOTAL(109,KDRvNB[Acrob. junioren indiv.])</f>
        <v>0</v>
      </c>
      <c r="T19">
        <f>SUBTOTAL(109,KDRvNB[Acrob. aspiranten indiv.])</f>
        <v>0</v>
      </c>
      <c r="U19" s="7">
        <f>COUNTIF(KDRvNB[Deelname hoofdkorps],"x")</f>
        <v>0</v>
      </c>
      <c r="V19" s="1">
        <f>SUBTOTAL(109,KDRvNB[Groepen, teams, ensembles en duo''s])</f>
        <v>0</v>
      </c>
      <c r="W19" s="1">
        <f>SUBTOTAL(109,KDRvNB[Aantal opgegeven majorettes])</f>
        <v>0</v>
      </c>
      <c r="X19">
        <f>SUBTOTAL(109,KDRvNB[Opgeven bielemannen])</f>
        <v>0</v>
      </c>
      <c r="Y19" s="1">
        <f>SUBTOTAL(109,KDRvNB[Senioren])</f>
        <v>0</v>
      </c>
      <c r="Z19" s="1">
        <f>SUBTOTAL(109,KDRvNB[Jong Volwassene])</f>
        <v>0</v>
      </c>
      <c r="AA19" s="1">
        <f>SUBTOTAL(109,KDRvNB[Junioren])</f>
        <v>0</v>
      </c>
      <c r="AB19" s="1">
        <f>SUBTOTAL(109,KDRvNB[Aspiranten])</f>
        <v>0</v>
      </c>
      <c r="AC19" s="7">
        <f>COUNTIF(KDRvNB[Deelname marketentsters],"x")</f>
        <v>0</v>
      </c>
      <c r="AD19">
        <f>SUBTOTAL(109,KDRvNB[Aantal luchtgeweerschutters])</f>
        <v>0</v>
      </c>
      <c r="AE19" s="1">
        <f>SUBTOTAL(109,KDRvNB[Aantal luchtpistoolschutters])</f>
        <v>0</v>
      </c>
      <c r="AF19">
        <f>SUBTOTAL(109,KDRvNB[Aantal handboogschutters])</f>
        <v>0</v>
      </c>
      <c r="AG19" s="1">
        <f>SUBTOTAL(109,KDRvNB[Aantal kruisboogschutters])</f>
        <v>0</v>
      </c>
      <c r="AH19">
        <f>SUBTOTAL(109,KDRvNB[(Aantal jeugdkorpsen])</f>
        <v>0</v>
      </c>
      <c r="AI19" s="1">
        <f>SUBTOTAL(109,KDRvNB[Totaal aantal deelnemers])</f>
        <v>242</v>
      </c>
      <c r="AJ19" s="1">
        <f>SUBTOTAL(109,KDRvNB[Waarvan aantal jeugd (t/m 15 jaar)])</f>
        <v>57</v>
      </c>
      <c r="AK19" s="55">
        <f>COUNTIF(KDRvNB[Kanon etc.],"x")</f>
        <v>0</v>
      </c>
      <c r="AL19" s="1">
        <f>COUNTIF(KDRvNB[Paarden en/of koetsen],"x")</f>
        <v>0</v>
      </c>
      <c r="AM19" s="44"/>
      <c r="AW19" s="1">
        <f>SUBTOTAL(109,KDRvNB[Korps bestaat uit ... deelnemers (hoofdkorps)])</f>
        <v>0</v>
      </c>
      <c r="AX19"/>
      <c r="BB19"/>
      <c r="BC19"/>
      <c r="BD19"/>
      <c r="BI19"/>
      <c r="BJ19"/>
      <c r="CJ19"/>
      <c r="CK19"/>
      <c r="CL19"/>
      <c r="CM19"/>
      <c r="CN19"/>
      <c r="CO19"/>
      <c r="CP19"/>
    </row>
    <row r="20" spans="1:94" x14ac:dyDescent="0.2">
      <c r="BB20"/>
      <c r="BC20"/>
      <c r="BD20"/>
      <c r="BI20"/>
      <c r="BJ20"/>
      <c r="CJ20"/>
      <c r="CK20"/>
      <c r="CL20"/>
      <c r="CM20"/>
      <c r="CN20"/>
      <c r="CO20"/>
      <c r="CP20"/>
    </row>
    <row r="21" spans="1:94" x14ac:dyDescent="0.2">
      <c r="D21" s="47"/>
      <c r="BB21"/>
      <c r="BC21"/>
      <c r="BD21"/>
      <c r="BI21"/>
      <c r="BJ21"/>
      <c r="CJ21"/>
      <c r="CK21"/>
      <c r="CL21"/>
      <c r="CM21"/>
      <c r="CN21"/>
      <c r="CO21"/>
      <c r="CP21"/>
    </row>
    <row r="22" spans="1:94" x14ac:dyDescent="0.2">
      <c r="BB22"/>
      <c r="BC22"/>
      <c r="BD22"/>
      <c r="BI22"/>
      <c r="BJ22"/>
      <c r="CJ22"/>
      <c r="CK22"/>
      <c r="CL22"/>
      <c r="CM22"/>
      <c r="CN22"/>
      <c r="CO22"/>
      <c r="CP22"/>
    </row>
    <row r="23" spans="1:94" x14ac:dyDescent="0.2">
      <c r="BB23"/>
      <c r="BC23"/>
      <c r="BD23"/>
      <c r="BI23"/>
      <c r="BJ23"/>
      <c r="CJ23"/>
      <c r="CK23"/>
      <c r="CL23"/>
      <c r="CM23"/>
      <c r="CN23"/>
      <c r="CO23"/>
      <c r="CP23"/>
    </row>
    <row r="24" spans="1:94" x14ac:dyDescent="0.2">
      <c r="BD24" s="1"/>
      <c r="BE24" s="1"/>
      <c r="BF24" s="1"/>
      <c r="BG24" s="1"/>
      <c r="BH24" s="1"/>
      <c r="BI24"/>
      <c r="BJ24"/>
      <c r="CJ24"/>
      <c r="CK24"/>
      <c r="CL24"/>
      <c r="CM24"/>
      <c r="CN24"/>
      <c r="CO24"/>
      <c r="CP24"/>
    </row>
    <row r="25" spans="1:94" x14ac:dyDescent="0.2">
      <c r="BD25" s="1"/>
      <c r="BE25" s="1"/>
      <c r="BF25" s="1"/>
      <c r="BG25" s="1"/>
      <c r="BH25" s="1"/>
      <c r="BI25"/>
      <c r="BJ25"/>
      <c r="CJ25"/>
      <c r="CK25"/>
      <c r="CL25"/>
      <c r="CM25"/>
      <c r="CN25"/>
      <c r="CO25"/>
      <c r="CP25"/>
    </row>
    <row r="26" spans="1:94" x14ac:dyDescent="0.2">
      <c r="BD26" s="1"/>
      <c r="BE26" s="1"/>
      <c r="BF26" s="1"/>
      <c r="BG26" s="1"/>
      <c r="BH26" s="1"/>
      <c r="BI26"/>
      <c r="BJ26"/>
      <c r="CJ26"/>
      <c r="CK26"/>
      <c r="CL26"/>
      <c r="CM26"/>
      <c r="CN26"/>
      <c r="CO26"/>
      <c r="CP26"/>
    </row>
    <row r="27" spans="1:94" x14ac:dyDescent="0.2">
      <c r="BD27" s="1"/>
      <c r="BE27" s="1"/>
      <c r="BF27" s="1"/>
      <c r="BG27" s="1"/>
      <c r="BH27" s="1"/>
      <c r="BI27"/>
      <c r="BJ27"/>
      <c r="CJ27"/>
      <c r="CK27"/>
      <c r="CL27"/>
      <c r="CM27"/>
      <c r="CN27"/>
      <c r="CO27"/>
      <c r="CP27"/>
    </row>
    <row r="28" spans="1:94" x14ac:dyDescent="0.2">
      <c r="BD28" s="1"/>
      <c r="BE28" s="1"/>
      <c r="BF28" s="1"/>
      <c r="BG28" s="1"/>
      <c r="BH28" s="1"/>
      <c r="BI28"/>
      <c r="BJ28"/>
      <c r="CJ28"/>
      <c r="CK28"/>
      <c r="CL28"/>
      <c r="CM28"/>
      <c r="CN28"/>
      <c r="CO28"/>
      <c r="CP28"/>
    </row>
  </sheetData>
  <mergeCells count="13">
    <mergeCell ref="AR3:AW4"/>
    <mergeCell ref="AX3:BA4"/>
    <mergeCell ref="Q4:T4"/>
    <mergeCell ref="A1:BA1"/>
    <mergeCell ref="A2:BA2"/>
    <mergeCell ref="J3:T3"/>
    <mergeCell ref="X3:AB4"/>
    <mergeCell ref="AC3:AC4"/>
    <mergeCell ref="AD3:AH4"/>
    <mergeCell ref="AI3:AQ4"/>
    <mergeCell ref="I4:M4"/>
    <mergeCell ref="N4:P4"/>
    <mergeCell ref="D3:H4"/>
  </mergeCells>
  <phoneticPr fontId="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F98C-9FE9-9242-99D4-3F62D00B16CB}">
  <dimension ref="A1:BN20"/>
  <sheetViews>
    <sheetView workbookViewId="0">
      <selection activeCell="CW1" sqref="BB1:CW1048576"/>
    </sheetView>
  </sheetViews>
  <sheetFormatPr baseColWidth="10" defaultRowHeight="15" x14ac:dyDescent="0.2"/>
  <cols>
    <col min="1" max="1" width="11" bestFit="1" customWidth="1"/>
    <col min="2" max="2" width="9.1640625" bestFit="1" customWidth="1"/>
    <col min="3" max="3" width="38.1640625" bestFit="1" customWidth="1"/>
    <col min="4" max="8" width="3.6640625" bestFit="1" customWidth="1"/>
    <col min="9" max="9" width="4.1640625" bestFit="1" customWidth="1"/>
    <col min="10" max="34" width="3.6640625" bestFit="1" customWidth="1"/>
    <col min="35" max="36" width="4.1640625" bestFit="1" customWidth="1"/>
    <col min="37" max="38" width="3.6640625" bestFit="1" customWidth="1"/>
    <col min="39" max="39" width="69.1640625" bestFit="1" customWidth="1"/>
    <col min="40" max="40" width="5.1640625" bestFit="1" customWidth="1"/>
    <col min="41" max="42" width="15" bestFit="1" customWidth="1"/>
    <col min="43" max="50" width="3.6640625" bestFit="1" customWidth="1"/>
    <col min="51" max="53" width="6.1640625" bestFit="1" customWidth="1"/>
  </cols>
  <sheetData>
    <row r="1" spans="1:66" ht="27" customHeight="1" x14ac:dyDescent="0.2">
      <c r="A1" s="106" t="s">
        <v>81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49"/>
      <c r="BC1" s="49"/>
      <c r="BD1" s="49"/>
      <c r="BE1" s="49"/>
      <c r="BF1" s="49"/>
      <c r="BG1" s="49"/>
      <c r="BH1" s="49"/>
      <c r="BI1" s="49"/>
      <c r="BJ1" s="49"/>
      <c r="BK1" s="49"/>
      <c r="BL1" s="49"/>
      <c r="BM1" s="49"/>
      <c r="BN1" s="49"/>
    </row>
    <row r="2" spans="1:66" ht="20" thickBot="1" x14ac:dyDescent="0.3">
      <c r="A2" s="107" t="s">
        <v>173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50"/>
      <c r="BC2" s="50"/>
      <c r="BD2" s="50"/>
      <c r="BE2" s="50"/>
      <c r="BF2" s="50"/>
      <c r="BG2" s="50"/>
      <c r="BH2" s="50"/>
      <c r="BI2" s="50"/>
      <c r="BJ2" s="50"/>
      <c r="BK2" s="50"/>
      <c r="BL2" s="50"/>
      <c r="BM2" s="50"/>
      <c r="BN2" s="50"/>
    </row>
    <row r="3" spans="1:66" s="23" customFormat="1" ht="16" thickBot="1" x14ac:dyDescent="0.25">
      <c r="A3" s="67"/>
      <c r="B3" s="68"/>
      <c r="C3" s="69"/>
      <c r="D3" s="93" t="s">
        <v>1</v>
      </c>
      <c r="E3" s="94"/>
      <c r="F3" s="94"/>
      <c r="G3" s="94"/>
      <c r="H3" s="95"/>
      <c r="I3" s="72"/>
      <c r="J3" s="100" t="s">
        <v>2</v>
      </c>
      <c r="K3" s="100"/>
      <c r="L3" s="100"/>
      <c r="M3" s="100"/>
      <c r="N3" s="100"/>
      <c r="O3" s="100"/>
      <c r="P3" s="100"/>
      <c r="Q3" s="100"/>
      <c r="R3" s="100"/>
      <c r="S3" s="100"/>
      <c r="T3" s="101"/>
      <c r="U3" s="17" t="s">
        <v>3</v>
      </c>
      <c r="V3" s="11" t="s">
        <v>150</v>
      </c>
      <c r="W3" s="13"/>
      <c r="X3" s="93" t="s">
        <v>5</v>
      </c>
      <c r="Y3" s="94"/>
      <c r="Z3" s="94"/>
      <c r="AA3" s="94"/>
      <c r="AB3" s="95"/>
      <c r="AC3" s="104" t="s">
        <v>151</v>
      </c>
      <c r="AD3" s="93" t="s">
        <v>7</v>
      </c>
      <c r="AE3" s="94"/>
      <c r="AF3" s="94"/>
      <c r="AG3" s="94"/>
      <c r="AH3" s="95"/>
      <c r="AI3" s="93" t="s">
        <v>8</v>
      </c>
      <c r="AJ3" s="94"/>
      <c r="AK3" s="94"/>
      <c r="AL3" s="94"/>
      <c r="AM3" s="94"/>
      <c r="AN3" s="94"/>
      <c r="AO3" s="94"/>
      <c r="AP3" s="94"/>
      <c r="AQ3" s="95"/>
      <c r="AR3" s="87" t="s">
        <v>9</v>
      </c>
      <c r="AS3" s="88"/>
      <c r="AT3" s="88"/>
      <c r="AU3" s="88"/>
      <c r="AV3" s="88"/>
      <c r="AW3" s="89"/>
      <c r="AX3" s="93" t="s">
        <v>152</v>
      </c>
      <c r="AY3" s="94"/>
      <c r="AZ3" s="94"/>
      <c r="BA3" s="94"/>
    </row>
    <row r="4" spans="1:66" s="23" customFormat="1" ht="16" thickBot="1" x14ac:dyDescent="0.25">
      <c r="A4" s="70"/>
      <c r="B4" s="71"/>
      <c r="C4" s="61"/>
      <c r="D4" s="96"/>
      <c r="E4" s="97"/>
      <c r="F4" s="97"/>
      <c r="G4" s="97"/>
      <c r="H4" s="98"/>
      <c r="I4" s="99" t="s">
        <v>11</v>
      </c>
      <c r="J4" s="102"/>
      <c r="K4" s="102"/>
      <c r="L4" s="102"/>
      <c r="M4" s="103"/>
      <c r="N4" s="99" t="s">
        <v>87</v>
      </c>
      <c r="O4" s="100"/>
      <c r="P4" s="101"/>
      <c r="Q4" s="99" t="s">
        <v>14</v>
      </c>
      <c r="R4" s="100"/>
      <c r="S4" s="100"/>
      <c r="T4" s="100"/>
      <c r="U4" s="18"/>
      <c r="V4" s="14"/>
      <c r="W4" s="16"/>
      <c r="X4" s="96"/>
      <c r="Y4" s="97"/>
      <c r="Z4" s="97"/>
      <c r="AA4" s="97"/>
      <c r="AB4" s="98"/>
      <c r="AC4" s="105"/>
      <c r="AD4" s="96"/>
      <c r="AE4" s="97"/>
      <c r="AF4" s="97"/>
      <c r="AG4" s="97"/>
      <c r="AH4" s="98"/>
      <c r="AI4" s="96"/>
      <c r="AJ4" s="97"/>
      <c r="AK4" s="97"/>
      <c r="AL4" s="97"/>
      <c r="AM4" s="97"/>
      <c r="AN4" s="97"/>
      <c r="AO4" s="97"/>
      <c r="AP4" s="97"/>
      <c r="AQ4" s="98"/>
      <c r="AR4" s="90"/>
      <c r="AS4" s="91"/>
      <c r="AT4" s="91"/>
      <c r="AU4" s="91"/>
      <c r="AV4" s="91"/>
      <c r="AW4" s="92"/>
      <c r="AX4" s="96"/>
      <c r="AY4" s="97"/>
      <c r="AZ4" s="97"/>
      <c r="BA4" s="97"/>
    </row>
    <row r="5" spans="1:66" s="2" customFormat="1" ht="278" thickBot="1" x14ac:dyDescent="0.25">
      <c r="A5" s="73" t="s">
        <v>17</v>
      </c>
      <c r="B5" s="73" t="s">
        <v>149</v>
      </c>
      <c r="C5" s="73" t="s">
        <v>19</v>
      </c>
      <c r="D5" s="77" t="s">
        <v>20</v>
      </c>
      <c r="E5" s="78" t="s">
        <v>141</v>
      </c>
      <c r="F5" s="78" t="s">
        <v>142</v>
      </c>
      <c r="G5" s="78" t="s">
        <v>23</v>
      </c>
      <c r="H5" s="79" t="s">
        <v>24</v>
      </c>
      <c r="I5" s="77" t="s">
        <v>25</v>
      </c>
      <c r="J5" s="78" t="s">
        <v>121</v>
      </c>
      <c r="K5" s="78" t="s">
        <v>122</v>
      </c>
      <c r="L5" s="78" t="s">
        <v>123</v>
      </c>
      <c r="M5" s="78" t="s">
        <v>124</v>
      </c>
      <c r="N5" s="78" t="s">
        <v>26</v>
      </c>
      <c r="O5" s="78" t="s">
        <v>27</v>
      </c>
      <c r="P5" s="78" t="s">
        <v>28</v>
      </c>
      <c r="Q5" s="78" t="s">
        <v>146</v>
      </c>
      <c r="R5" s="78" t="s">
        <v>133</v>
      </c>
      <c r="S5" s="78" t="s">
        <v>134</v>
      </c>
      <c r="T5" s="79" t="s">
        <v>135</v>
      </c>
      <c r="U5" s="80" t="s">
        <v>144</v>
      </c>
      <c r="V5" s="77" t="s">
        <v>105</v>
      </c>
      <c r="W5" s="79" t="s">
        <v>71</v>
      </c>
      <c r="X5" s="77" t="s">
        <v>147</v>
      </c>
      <c r="Y5" s="78" t="s">
        <v>38</v>
      </c>
      <c r="Z5" s="78" t="s">
        <v>140</v>
      </c>
      <c r="AA5" s="78" t="s">
        <v>39</v>
      </c>
      <c r="AB5" s="79" t="s">
        <v>40</v>
      </c>
      <c r="AC5" s="80" t="s">
        <v>143</v>
      </c>
      <c r="AD5" s="77" t="s">
        <v>117</v>
      </c>
      <c r="AE5" s="78" t="s">
        <v>118</v>
      </c>
      <c r="AF5" s="78" t="s">
        <v>119</v>
      </c>
      <c r="AG5" s="78" t="s">
        <v>120</v>
      </c>
      <c r="AH5" s="79" t="s">
        <v>148</v>
      </c>
      <c r="AI5" s="81" t="s">
        <v>46</v>
      </c>
      <c r="AJ5" s="78" t="s">
        <v>47</v>
      </c>
      <c r="AK5" s="78" t="s">
        <v>48</v>
      </c>
      <c r="AL5" s="78" t="s">
        <v>49</v>
      </c>
      <c r="AM5" s="82" t="s">
        <v>50</v>
      </c>
      <c r="AN5" s="78" t="s">
        <v>51</v>
      </c>
      <c r="AO5" s="78" t="s">
        <v>52</v>
      </c>
      <c r="AP5" s="78" t="s">
        <v>103</v>
      </c>
      <c r="AQ5" s="79" t="s">
        <v>53</v>
      </c>
      <c r="AR5" s="77" t="s">
        <v>54</v>
      </c>
      <c r="AS5" s="78" t="s">
        <v>55</v>
      </c>
      <c r="AT5" s="78" t="s">
        <v>56</v>
      </c>
      <c r="AU5" s="78" t="s">
        <v>57</v>
      </c>
      <c r="AV5" s="78" t="s">
        <v>58</v>
      </c>
      <c r="AW5" s="79" t="s">
        <v>59</v>
      </c>
      <c r="AX5" s="77" t="s">
        <v>145</v>
      </c>
      <c r="AY5" s="78" t="s">
        <v>67</v>
      </c>
      <c r="AZ5" s="78" t="s">
        <v>68</v>
      </c>
      <c r="BA5" s="79" t="s">
        <v>69</v>
      </c>
    </row>
    <row r="6" spans="1:66" x14ac:dyDescent="0.2">
      <c r="A6" s="125" t="s">
        <v>154</v>
      </c>
      <c r="B6" s="125" t="s">
        <v>451</v>
      </c>
      <c r="C6" s="125" t="s">
        <v>452</v>
      </c>
      <c r="D6" s="125" t="s">
        <v>72</v>
      </c>
      <c r="E6" s="125" t="s">
        <v>72</v>
      </c>
      <c r="F6" s="125" t="s">
        <v>72</v>
      </c>
      <c r="G6" s="125" t="s">
        <v>73</v>
      </c>
      <c r="H6" s="125"/>
      <c r="I6">
        <v>8</v>
      </c>
      <c r="J6">
        <v>7</v>
      </c>
      <c r="Q6">
        <v>0</v>
      </c>
      <c r="R6">
        <v>0</v>
      </c>
      <c r="S6">
        <v>0</v>
      </c>
      <c r="T6">
        <v>0</v>
      </c>
      <c r="U6" s="125" t="s">
        <v>73</v>
      </c>
      <c r="V6">
        <v>0</v>
      </c>
      <c r="W6">
        <v>0</v>
      </c>
      <c r="X6">
        <v>0</v>
      </c>
      <c r="Y6">
        <v>0</v>
      </c>
      <c r="Z6">
        <v>0</v>
      </c>
      <c r="AA6">
        <v>0</v>
      </c>
      <c r="AB6">
        <v>0</v>
      </c>
      <c r="AC6" s="125" t="s">
        <v>73</v>
      </c>
      <c r="AD6">
        <v>6</v>
      </c>
      <c r="AE6">
        <v>0</v>
      </c>
      <c r="AF6">
        <v>0</v>
      </c>
      <c r="AG6">
        <v>0</v>
      </c>
      <c r="AH6">
        <v>0</v>
      </c>
      <c r="AI6">
        <v>27</v>
      </c>
      <c r="AJ6">
        <v>9</v>
      </c>
      <c r="AK6" s="125" t="s">
        <v>72</v>
      </c>
      <c r="AL6" s="125" t="s">
        <v>73</v>
      </c>
      <c r="AM6" s="125" t="s">
        <v>73</v>
      </c>
      <c r="AN6" s="125" t="s">
        <v>453</v>
      </c>
      <c r="AO6" s="56">
        <v>46021.9921412037</v>
      </c>
      <c r="AP6" s="56">
        <v>46021.950474537036</v>
      </c>
      <c r="AQ6" s="125" t="s">
        <v>73</v>
      </c>
      <c r="AR6" s="125" t="s">
        <v>73</v>
      </c>
      <c r="AS6" s="125" t="s">
        <v>73</v>
      </c>
      <c r="AT6" s="125" t="s">
        <v>73</v>
      </c>
      <c r="AU6" s="125" t="s">
        <v>73</v>
      </c>
      <c r="AV6" s="125" t="s">
        <v>73</v>
      </c>
      <c r="AW6">
        <v>0</v>
      </c>
      <c r="AX6" s="125" t="s">
        <v>73</v>
      </c>
      <c r="AY6" s="125" t="s">
        <v>158</v>
      </c>
      <c r="AZ6" s="125" t="s">
        <v>158</v>
      </c>
      <c r="BA6" s="125" t="s">
        <v>158</v>
      </c>
    </row>
    <row r="7" spans="1:66" x14ac:dyDescent="0.2">
      <c r="A7" s="125" t="s">
        <v>154</v>
      </c>
      <c r="B7" s="125" t="s">
        <v>454</v>
      </c>
      <c r="C7" s="125" t="s">
        <v>455</v>
      </c>
      <c r="D7" s="125" t="s">
        <v>72</v>
      </c>
      <c r="E7" s="125" t="s">
        <v>72</v>
      </c>
      <c r="F7" s="125" t="s">
        <v>73</v>
      </c>
      <c r="G7" s="125" t="s">
        <v>73</v>
      </c>
      <c r="H7" s="125"/>
      <c r="Q7">
        <v>0</v>
      </c>
      <c r="R7">
        <v>0</v>
      </c>
      <c r="S7">
        <v>0</v>
      </c>
      <c r="T7">
        <v>0</v>
      </c>
      <c r="U7" s="125" t="s">
        <v>73</v>
      </c>
      <c r="V7">
        <v>0</v>
      </c>
      <c r="W7">
        <v>0</v>
      </c>
      <c r="X7">
        <v>0</v>
      </c>
      <c r="Y7">
        <v>0</v>
      </c>
      <c r="Z7">
        <v>0</v>
      </c>
      <c r="AA7">
        <v>0</v>
      </c>
      <c r="AB7">
        <v>0</v>
      </c>
      <c r="AC7" s="125" t="s">
        <v>73</v>
      </c>
      <c r="AD7">
        <v>0</v>
      </c>
      <c r="AE7">
        <v>0</v>
      </c>
      <c r="AF7">
        <v>0</v>
      </c>
      <c r="AG7">
        <v>0</v>
      </c>
      <c r="AH7">
        <v>0</v>
      </c>
      <c r="AI7">
        <v>25</v>
      </c>
      <c r="AJ7">
        <v>5</v>
      </c>
      <c r="AK7" s="125" t="s">
        <v>73</v>
      </c>
      <c r="AL7" s="125" t="s">
        <v>72</v>
      </c>
      <c r="AM7" s="125" t="s">
        <v>73</v>
      </c>
      <c r="AN7" s="125" t="s">
        <v>456</v>
      </c>
      <c r="AO7" s="56">
        <v>46021.975057870368</v>
      </c>
      <c r="AP7" s="56">
        <v>46021.933391203704</v>
      </c>
      <c r="AQ7" s="125" t="s">
        <v>73</v>
      </c>
      <c r="AR7" s="125" t="s">
        <v>73</v>
      </c>
      <c r="AS7" s="125" t="s">
        <v>73</v>
      </c>
      <c r="AT7" s="125" t="s">
        <v>73</v>
      </c>
      <c r="AU7" s="125" t="s">
        <v>73</v>
      </c>
      <c r="AV7" s="125" t="s">
        <v>73</v>
      </c>
      <c r="AW7">
        <v>0</v>
      </c>
      <c r="AX7" s="125" t="s">
        <v>73</v>
      </c>
      <c r="AY7" s="125" t="s">
        <v>158</v>
      </c>
      <c r="AZ7" s="125" t="s">
        <v>158</v>
      </c>
      <c r="BA7" s="125" t="s">
        <v>158</v>
      </c>
    </row>
    <row r="8" spans="1:66" x14ac:dyDescent="0.2">
      <c r="A8" s="125" t="s">
        <v>154</v>
      </c>
      <c r="B8" s="125" t="s">
        <v>429</v>
      </c>
      <c r="C8" s="125" t="s">
        <v>430</v>
      </c>
      <c r="D8" s="125" t="s">
        <v>73</v>
      </c>
      <c r="E8" s="125" t="s">
        <v>72</v>
      </c>
      <c r="F8" s="125" t="s">
        <v>72</v>
      </c>
      <c r="G8" s="125" t="s">
        <v>73</v>
      </c>
      <c r="H8" s="125"/>
      <c r="I8">
        <v>12</v>
      </c>
      <c r="J8">
        <v>4</v>
      </c>
      <c r="Q8">
        <v>0</v>
      </c>
      <c r="R8">
        <v>0</v>
      </c>
      <c r="S8">
        <v>0</v>
      </c>
      <c r="T8">
        <v>0</v>
      </c>
      <c r="U8" s="125" t="s">
        <v>73</v>
      </c>
      <c r="V8">
        <v>0</v>
      </c>
      <c r="W8">
        <v>0</v>
      </c>
      <c r="X8">
        <v>0</v>
      </c>
      <c r="Y8">
        <v>0</v>
      </c>
      <c r="Z8">
        <v>0</v>
      </c>
      <c r="AA8">
        <v>0</v>
      </c>
      <c r="AB8">
        <v>0</v>
      </c>
      <c r="AC8" s="125" t="s">
        <v>73</v>
      </c>
      <c r="AD8">
        <v>0</v>
      </c>
      <c r="AE8">
        <v>0</v>
      </c>
      <c r="AF8">
        <v>0</v>
      </c>
      <c r="AG8">
        <v>0</v>
      </c>
      <c r="AH8">
        <v>2</v>
      </c>
      <c r="AI8">
        <v>65</v>
      </c>
      <c r="AJ8">
        <v>14</v>
      </c>
      <c r="AK8" s="125" t="s">
        <v>72</v>
      </c>
      <c r="AL8" s="125" t="s">
        <v>73</v>
      </c>
      <c r="AM8" s="125" t="s">
        <v>73</v>
      </c>
      <c r="AN8" s="125" t="s">
        <v>431</v>
      </c>
      <c r="AO8" s="56">
        <v>46019.964398148149</v>
      </c>
      <c r="AP8" s="56">
        <v>46019.922731481478</v>
      </c>
      <c r="AQ8" s="125" t="s">
        <v>73</v>
      </c>
      <c r="AR8" s="125" t="s">
        <v>73</v>
      </c>
      <c r="AS8" s="125" t="s">
        <v>73</v>
      </c>
      <c r="AT8" s="125" t="s">
        <v>73</v>
      </c>
      <c r="AU8" s="125" t="s">
        <v>73</v>
      </c>
      <c r="AV8" s="125" t="s">
        <v>73</v>
      </c>
      <c r="AW8">
        <v>0</v>
      </c>
      <c r="AX8" s="125" t="s">
        <v>73</v>
      </c>
      <c r="AY8" s="125" t="s">
        <v>158</v>
      </c>
      <c r="AZ8" s="125" t="s">
        <v>158</v>
      </c>
      <c r="BA8" s="125" t="s">
        <v>158</v>
      </c>
    </row>
    <row r="9" spans="1:66" x14ac:dyDescent="0.2">
      <c r="A9" s="125" t="s">
        <v>154</v>
      </c>
      <c r="B9" s="125" t="s">
        <v>415</v>
      </c>
      <c r="C9" s="125" t="s">
        <v>416</v>
      </c>
      <c r="D9" s="125" t="s">
        <v>73</v>
      </c>
      <c r="E9" s="125" t="s">
        <v>72</v>
      </c>
      <c r="F9" s="125" t="s">
        <v>73</v>
      </c>
      <c r="G9" s="125" t="s">
        <v>73</v>
      </c>
      <c r="H9" s="125"/>
      <c r="I9">
        <v>4</v>
      </c>
      <c r="J9">
        <v>4</v>
      </c>
      <c r="L9">
        <v>3</v>
      </c>
      <c r="Q9">
        <v>0</v>
      </c>
      <c r="R9">
        <v>0</v>
      </c>
      <c r="S9">
        <v>0</v>
      </c>
      <c r="T9">
        <v>0</v>
      </c>
      <c r="U9" s="125" t="s">
        <v>73</v>
      </c>
      <c r="V9">
        <v>0</v>
      </c>
      <c r="W9">
        <v>0</v>
      </c>
      <c r="X9">
        <v>0</v>
      </c>
      <c r="Y9">
        <v>0</v>
      </c>
      <c r="Z9">
        <v>0</v>
      </c>
      <c r="AA9">
        <v>0</v>
      </c>
      <c r="AB9">
        <v>0</v>
      </c>
      <c r="AC9" s="125" t="s">
        <v>73</v>
      </c>
      <c r="AD9">
        <v>4</v>
      </c>
      <c r="AE9">
        <v>4</v>
      </c>
      <c r="AF9">
        <v>0</v>
      </c>
      <c r="AG9">
        <v>4</v>
      </c>
      <c r="AH9">
        <v>0</v>
      </c>
      <c r="AI9">
        <v>30</v>
      </c>
      <c r="AJ9">
        <v>6</v>
      </c>
      <c r="AK9" s="125" t="s">
        <v>73</v>
      </c>
      <c r="AL9" s="125" t="s">
        <v>73</v>
      </c>
      <c r="AM9" s="125" t="s">
        <v>73</v>
      </c>
      <c r="AN9" s="125" t="s">
        <v>417</v>
      </c>
      <c r="AO9" s="56">
        <v>46019.661631944444</v>
      </c>
      <c r="AP9" s="56">
        <v>46019.61996527778</v>
      </c>
      <c r="AQ9" s="125" t="s">
        <v>73</v>
      </c>
      <c r="AR9" s="125" t="s">
        <v>73</v>
      </c>
      <c r="AS9" s="125" t="s">
        <v>73</v>
      </c>
      <c r="AT9" s="125" t="s">
        <v>73</v>
      </c>
      <c r="AU9" s="125" t="s">
        <v>73</v>
      </c>
      <c r="AV9" s="125" t="s">
        <v>73</v>
      </c>
      <c r="AW9">
        <v>0</v>
      </c>
      <c r="AX9" s="125" t="s">
        <v>73</v>
      </c>
      <c r="AY9" s="125" t="s">
        <v>158</v>
      </c>
      <c r="AZ9" s="125" t="s">
        <v>158</v>
      </c>
      <c r="BA9" s="125" t="s">
        <v>158</v>
      </c>
    </row>
    <row r="10" spans="1:66" x14ac:dyDescent="0.2">
      <c r="A10" s="125" t="s">
        <v>154</v>
      </c>
      <c r="B10" s="125" t="s">
        <v>418</v>
      </c>
      <c r="C10" s="125" t="s">
        <v>419</v>
      </c>
      <c r="D10" s="125" t="s">
        <v>73</v>
      </c>
      <c r="E10" s="125" t="s">
        <v>72</v>
      </c>
      <c r="F10" s="125" t="s">
        <v>73</v>
      </c>
      <c r="G10" s="125" t="s">
        <v>73</v>
      </c>
      <c r="H10" s="125"/>
      <c r="I10">
        <v>8</v>
      </c>
      <c r="J10">
        <v>6</v>
      </c>
      <c r="L10">
        <v>8</v>
      </c>
      <c r="Q10">
        <v>0</v>
      </c>
      <c r="R10">
        <v>0</v>
      </c>
      <c r="S10">
        <v>0</v>
      </c>
      <c r="T10">
        <v>0</v>
      </c>
      <c r="U10" s="125" t="s">
        <v>73</v>
      </c>
      <c r="V10">
        <v>0</v>
      </c>
      <c r="W10">
        <v>0</v>
      </c>
      <c r="X10">
        <v>2</v>
      </c>
      <c r="Y10">
        <v>2</v>
      </c>
      <c r="Z10">
        <v>0</v>
      </c>
      <c r="AA10">
        <v>0</v>
      </c>
      <c r="AB10">
        <v>0</v>
      </c>
      <c r="AC10" s="125" t="s">
        <v>73</v>
      </c>
      <c r="AD10">
        <v>6</v>
      </c>
      <c r="AE10">
        <v>6</v>
      </c>
      <c r="AF10">
        <v>0</v>
      </c>
      <c r="AG10">
        <v>6</v>
      </c>
      <c r="AH10">
        <v>2</v>
      </c>
      <c r="AI10">
        <v>120</v>
      </c>
      <c r="AJ10">
        <v>14</v>
      </c>
      <c r="AK10" s="125" t="s">
        <v>72</v>
      </c>
      <c r="AL10" s="125" t="s">
        <v>72</v>
      </c>
      <c r="AM10" s="125" t="s">
        <v>420</v>
      </c>
      <c r="AN10" s="125" t="s">
        <v>421</v>
      </c>
      <c r="AO10" s="56">
        <v>46019.654583333337</v>
      </c>
      <c r="AP10" s="56">
        <v>46022.349317129629</v>
      </c>
      <c r="AQ10" s="125" t="s">
        <v>73</v>
      </c>
      <c r="AR10" s="125" t="s">
        <v>73</v>
      </c>
      <c r="AS10" s="125" t="s">
        <v>73</v>
      </c>
      <c r="AT10" s="125" t="s">
        <v>73</v>
      </c>
      <c r="AU10" s="125" t="s">
        <v>73</v>
      </c>
      <c r="AV10" s="125" t="s">
        <v>73</v>
      </c>
      <c r="AW10">
        <v>0</v>
      </c>
      <c r="AX10" s="125" t="s">
        <v>73</v>
      </c>
      <c r="AY10" s="125" t="s">
        <v>158</v>
      </c>
      <c r="AZ10" s="125" t="s">
        <v>158</v>
      </c>
      <c r="BA10" s="125" t="s">
        <v>158</v>
      </c>
    </row>
    <row r="11" spans="1:66" x14ac:dyDescent="0.2">
      <c r="A11" s="125" t="s">
        <v>154</v>
      </c>
      <c r="B11" s="125" t="s">
        <v>398</v>
      </c>
      <c r="C11" s="125" t="s">
        <v>399</v>
      </c>
      <c r="D11" s="125" t="s">
        <v>73</v>
      </c>
      <c r="E11" s="125" t="s">
        <v>72</v>
      </c>
      <c r="F11" s="125" t="s">
        <v>73</v>
      </c>
      <c r="G11" s="125" t="s">
        <v>73</v>
      </c>
      <c r="H11" s="125"/>
      <c r="I11">
        <v>16</v>
      </c>
      <c r="Q11">
        <v>0</v>
      </c>
      <c r="R11">
        <v>0</v>
      </c>
      <c r="S11">
        <v>0</v>
      </c>
      <c r="T11">
        <v>0</v>
      </c>
      <c r="U11" s="125" t="s">
        <v>73</v>
      </c>
      <c r="V11">
        <v>0</v>
      </c>
      <c r="W11">
        <v>0</v>
      </c>
      <c r="X11">
        <v>3</v>
      </c>
      <c r="Y11">
        <v>2</v>
      </c>
      <c r="Z11">
        <v>1</v>
      </c>
      <c r="AA11">
        <v>0</v>
      </c>
      <c r="AB11">
        <v>0</v>
      </c>
      <c r="AC11" s="125" t="s">
        <v>73</v>
      </c>
      <c r="AD11">
        <v>4</v>
      </c>
      <c r="AE11">
        <v>4</v>
      </c>
      <c r="AF11">
        <v>0</v>
      </c>
      <c r="AG11">
        <v>5</v>
      </c>
      <c r="AH11">
        <v>0</v>
      </c>
      <c r="AI11">
        <v>110</v>
      </c>
      <c r="AJ11">
        <v>15</v>
      </c>
      <c r="AK11" s="125" t="s">
        <v>72</v>
      </c>
      <c r="AL11" s="125" t="s">
        <v>72</v>
      </c>
      <c r="AM11" s="125" t="s">
        <v>73</v>
      </c>
      <c r="AN11" s="125" t="s">
        <v>400</v>
      </c>
      <c r="AO11" s="56">
        <v>46017.53334490741</v>
      </c>
      <c r="AP11" s="56">
        <v>46017.491678240738</v>
      </c>
      <c r="AQ11" s="125" t="s">
        <v>73</v>
      </c>
      <c r="AR11" s="125" t="s">
        <v>73</v>
      </c>
      <c r="AS11" s="125" t="s">
        <v>73</v>
      </c>
      <c r="AT11" s="125" t="s">
        <v>73</v>
      </c>
      <c r="AU11" s="125" t="s">
        <v>73</v>
      </c>
      <c r="AV11" s="125" t="s">
        <v>73</v>
      </c>
      <c r="AW11">
        <v>0</v>
      </c>
      <c r="AX11" s="125" t="s">
        <v>73</v>
      </c>
      <c r="AY11" s="125" t="s">
        <v>158</v>
      </c>
      <c r="AZ11" s="125" t="s">
        <v>158</v>
      </c>
      <c r="BA11" s="125" t="s">
        <v>158</v>
      </c>
    </row>
    <row r="12" spans="1:66" x14ac:dyDescent="0.2">
      <c r="A12" s="125" t="s">
        <v>154</v>
      </c>
      <c r="B12" s="125" t="s">
        <v>345</v>
      </c>
      <c r="C12" s="125" t="s">
        <v>346</v>
      </c>
      <c r="D12" s="125" t="s">
        <v>72</v>
      </c>
      <c r="E12" s="125" t="s">
        <v>72</v>
      </c>
      <c r="F12" s="125" t="s">
        <v>72</v>
      </c>
      <c r="G12" s="125" t="s">
        <v>73</v>
      </c>
      <c r="H12" s="125"/>
      <c r="I12">
        <v>12</v>
      </c>
      <c r="J12">
        <v>4</v>
      </c>
      <c r="L12">
        <v>9</v>
      </c>
      <c r="N12">
        <v>10</v>
      </c>
      <c r="O12">
        <v>4</v>
      </c>
      <c r="Q12">
        <v>1</v>
      </c>
      <c r="R12">
        <v>0</v>
      </c>
      <c r="S12">
        <v>0</v>
      </c>
      <c r="T12">
        <v>1</v>
      </c>
      <c r="U12" s="125" t="s">
        <v>73</v>
      </c>
      <c r="V12">
        <v>0</v>
      </c>
      <c r="W12">
        <v>0</v>
      </c>
      <c r="X12">
        <v>3</v>
      </c>
      <c r="Y12">
        <v>3</v>
      </c>
      <c r="Z12">
        <v>0</v>
      </c>
      <c r="AA12">
        <v>0</v>
      </c>
      <c r="AB12">
        <v>0</v>
      </c>
      <c r="AC12" s="125" t="s">
        <v>72</v>
      </c>
      <c r="AD12">
        <v>6</v>
      </c>
      <c r="AE12">
        <v>6</v>
      </c>
      <c r="AF12">
        <v>0</v>
      </c>
      <c r="AG12">
        <v>0</v>
      </c>
      <c r="AH12">
        <v>2</v>
      </c>
      <c r="AI12">
        <v>125</v>
      </c>
      <c r="AJ12">
        <v>20</v>
      </c>
      <c r="AK12" s="125" t="s">
        <v>72</v>
      </c>
      <c r="AL12" s="125" t="s">
        <v>72</v>
      </c>
      <c r="AM12" s="125" t="s">
        <v>73</v>
      </c>
      <c r="AN12" s="125" t="s">
        <v>347</v>
      </c>
      <c r="AO12" s="56">
        <v>46013.470543981479</v>
      </c>
      <c r="AP12" s="56">
        <v>46013.428877314815</v>
      </c>
      <c r="AQ12" s="125" t="s">
        <v>73</v>
      </c>
      <c r="AR12" s="125" t="s">
        <v>73</v>
      </c>
      <c r="AS12" s="125" t="s">
        <v>73</v>
      </c>
      <c r="AT12" s="125" t="s">
        <v>73</v>
      </c>
      <c r="AU12" s="125" t="s">
        <v>73</v>
      </c>
      <c r="AV12" s="125" t="s">
        <v>73</v>
      </c>
      <c r="AW12">
        <v>0</v>
      </c>
      <c r="AX12" s="125" t="s">
        <v>73</v>
      </c>
      <c r="AY12" s="125" t="s">
        <v>158</v>
      </c>
      <c r="AZ12" s="125" t="s">
        <v>158</v>
      </c>
      <c r="BA12" s="125" t="s">
        <v>158</v>
      </c>
    </row>
    <row r="13" spans="1:66" x14ac:dyDescent="0.2">
      <c r="A13" s="125" t="s">
        <v>154</v>
      </c>
      <c r="B13" s="125" t="s">
        <v>324</v>
      </c>
      <c r="C13" s="125" t="s">
        <v>325</v>
      </c>
      <c r="D13" s="125" t="s">
        <v>73</v>
      </c>
      <c r="E13" s="125" t="s">
        <v>72</v>
      </c>
      <c r="F13" s="125" t="s">
        <v>72</v>
      </c>
      <c r="G13" s="125" t="s">
        <v>73</v>
      </c>
      <c r="H13" s="125"/>
      <c r="I13">
        <v>6</v>
      </c>
      <c r="Q13">
        <v>3</v>
      </c>
      <c r="R13">
        <v>2</v>
      </c>
      <c r="S13">
        <v>1</v>
      </c>
      <c r="T13">
        <v>0</v>
      </c>
      <c r="U13" s="125" t="s">
        <v>73</v>
      </c>
      <c r="V13">
        <v>0</v>
      </c>
      <c r="W13">
        <v>0</v>
      </c>
      <c r="X13">
        <v>0</v>
      </c>
      <c r="Y13">
        <v>0</v>
      </c>
      <c r="Z13">
        <v>0</v>
      </c>
      <c r="AA13">
        <v>0</v>
      </c>
      <c r="AB13">
        <v>0</v>
      </c>
      <c r="AC13" s="125" t="s">
        <v>72</v>
      </c>
      <c r="AD13">
        <v>6</v>
      </c>
      <c r="AE13">
        <v>6</v>
      </c>
      <c r="AF13">
        <v>0</v>
      </c>
      <c r="AG13">
        <v>6</v>
      </c>
      <c r="AH13">
        <v>0</v>
      </c>
      <c r="AI13">
        <v>55</v>
      </c>
      <c r="AJ13">
        <v>1</v>
      </c>
      <c r="AK13" s="125" t="s">
        <v>73</v>
      </c>
      <c r="AL13" s="125" t="s">
        <v>73</v>
      </c>
      <c r="AM13" s="125" t="s">
        <v>73</v>
      </c>
      <c r="AN13" s="125" t="s">
        <v>330</v>
      </c>
      <c r="AO13" s="56">
        <v>46011.7966087963</v>
      </c>
      <c r="AP13" s="56">
        <v>46011.754942129628</v>
      </c>
      <c r="AQ13" s="125" t="s">
        <v>73</v>
      </c>
      <c r="AR13" s="125" t="s">
        <v>73</v>
      </c>
      <c r="AS13" s="125" t="s">
        <v>73</v>
      </c>
      <c r="AT13" s="125" t="s">
        <v>73</v>
      </c>
      <c r="AU13" s="125" t="s">
        <v>73</v>
      </c>
      <c r="AV13" s="125" t="s">
        <v>73</v>
      </c>
      <c r="AW13">
        <v>0</v>
      </c>
      <c r="AX13" s="125" t="s">
        <v>73</v>
      </c>
      <c r="AY13" s="125" t="s">
        <v>158</v>
      </c>
      <c r="AZ13" s="125" t="s">
        <v>158</v>
      </c>
      <c r="BA13" s="125" t="s">
        <v>158</v>
      </c>
    </row>
    <row r="14" spans="1:66" x14ac:dyDescent="0.2">
      <c r="A14" s="125" t="s">
        <v>154</v>
      </c>
      <c r="B14" s="125" t="s">
        <v>318</v>
      </c>
      <c r="C14" s="125" t="s">
        <v>319</v>
      </c>
      <c r="D14" s="125" t="s">
        <v>73</v>
      </c>
      <c r="E14" s="125" t="s">
        <v>72</v>
      </c>
      <c r="F14" s="125" t="s">
        <v>73</v>
      </c>
      <c r="G14" s="125" t="s">
        <v>73</v>
      </c>
      <c r="H14" s="125"/>
      <c r="I14">
        <v>9</v>
      </c>
      <c r="J14">
        <v>9</v>
      </c>
      <c r="L14">
        <v>5</v>
      </c>
      <c r="Q14">
        <v>0</v>
      </c>
      <c r="R14">
        <v>0</v>
      </c>
      <c r="S14">
        <v>0</v>
      </c>
      <c r="T14">
        <v>0</v>
      </c>
      <c r="U14" s="125" t="s">
        <v>73</v>
      </c>
      <c r="V14">
        <v>0</v>
      </c>
      <c r="W14">
        <v>0</v>
      </c>
      <c r="X14">
        <v>0</v>
      </c>
      <c r="Y14">
        <v>0</v>
      </c>
      <c r="Z14">
        <v>0</v>
      </c>
      <c r="AA14">
        <v>0</v>
      </c>
      <c r="AB14">
        <v>0</v>
      </c>
      <c r="AC14" s="125" t="s">
        <v>73</v>
      </c>
      <c r="AD14">
        <v>6</v>
      </c>
      <c r="AE14">
        <v>6</v>
      </c>
      <c r="AF14">
        <v>0</v>
      </c>
      <c r="AG14">
        <v>6</v>
      </c>
      <c r="AH14">
        <v>2</v>
      </c>
      <c r="AI14">
        <v>75</v>
      </c>
      <c r="AJ14">
        <v>20</v>
      </c>
      <c r="AK14" s="125" t="s">
        <v>73</v>
      </c>
      <c r="AL14" s="125" t="s">
        <v>72</v>
      </c>
      <c r="AM14" s="125" t="s">
        <v>73</v>
      </c>
      <c r="AN14" s="125" t="s">
        <v>320</v>
      </c>
      <c r="AO14" s="56">
        <v>46011.580370370371</v>
      </c>
      <c r="AP14" s="56">
        <v>46011.538703703707</v>
      </c>
      <c r="AQ14" s="125" t="s">
        <v>73</v>
      </c>
      <c r="AR14" s="125" t="s">
        <v>73</v>
      </c>
      <c r="AS14" s="125" t="s">
        <v>73</v>
      </c>
      <c r="AT14" s="125" t="s">
        <v>73</v>
      </c>
      <c r="AU14" s="125" t="s">
        <v>73</v>
      </c>
      <c r="AV14" s="125" t="s">
        <v>73</v>
      </c>
      <c r="AW14">
        <v>0</v>
      </c>
      <c r="AX14" s="125" t="s">
        <v>73</v>
      </c>
      <c r="AY14" s="125" t="s">
        <v>158</v>
      </c>
      <c r="AZ14" s="125" t="s">
        <v>158</v>
      </c>
      <c r="BA14" s="125" t="s">
        <v>158</v>
      </c>
    </row>
    <row r="15" spans="1:66" x14ac:dyDescent="0.2">
      <c r="A15" s="125" t="s">
        <v>154</v>
      </c>
      <c r="B15" s="125" t="s">
        <v>272</v>
      </c>
      <c r="C15" s="125" t="s">
        <v>273</v>
      </c>
      <c r="D15" s="125" t="s">
        <v>73</v>
      </c>
      <c r="E15" s="125" t="s">
        <v>72</v>
      </c>
      <c r="F15" s="125" t="s">
        <v>73</v>
      </c>
      <c r="G15" s="125" t="s">
        <v>73</v>
      </c>
      <c r="H15" s="125"/>
      <c r="I15">
        <v>5</v>
      </c>
      <c r="J15">
        <v>5</v>
      </c>
      <c r="Q15">
        <v>0</v>
      </c>
      <c r="R15">
        <v>0</v>
      </c>
      <c r="S15">
        <v>0</v>
      </c>
      <c r="T15">
        <v>0</v>
      </c>
      <c r="U15" s="125" t="s">
        <v>73</v>
      </c>
      <c r="V15">
        <v>0</v>
      </c>
      <c r="W15">
        <v>0</v>
      </c>
      <c r="X15">
        <v>7</v>
      </c>
      <c r="Y15">
        <v>5</v>
      </c>
      <c r="Z15">
        <v>1</v>
      </c>
      <c r="AA15">
        <v>1</v>
      </c>
      <c r="AB15">
        <v>0</v>
      </c>
      <c r="AC15" s="125" t="s">
        <v>73</v>
      </c>
      <c r="AD15">
        <v>3</v>
      </c>
      <c r="AE15">
        <v>3</v>
      </c>
      <c r="AF15">
        <v>0</v>
      </c>
      <c r="AG15">
        <v>3</v>
      </c>
      <c r="AH15">
        <v>0</v>
      </c>
      <c r="AI15">
        <v>45</v>
      </c>
      <c r="AJ15">
        <v>10</v>
      </c>
      <c r="AK15" s="125" t="s">
        <v>73</v>
      </c>
      <c r="AL15" s="125" t="s">
        <v>73</v>
      </c>
      <c r="AM15" s="125" t="s">
        <v>73</v>
      </c>
      <c r="AN15" s="125" t="s">
        <v>274</v>
      </c>
      <c r="AO15" s="56">
        <v>46006.608807870369</v>
      </c>
      <c r="AP15" s="56">
        <v>46006.567141203705</v>
      </c>
      <c r="AQ15" s="125" t="s">
        <v>73</v>
      </c>
      <c r="AR15" s="125" t="s">
        <v>73</v>
      </c>
      <c r="AS15" s="125" t="s">
        <v>73</v>
      </c>
      <c r="AT15" s="125" t="s">
        <v>73</v>
      </c>
      <c r="AU15" s="125" t="s">
        <v>73</v>
      </c>
      <c r="AV15" s="125" t="s">
        <v>73</v>
      </c>
      <c r="AW15">
        <v>0</v>
      </c>
      <c r="AX15" s="125" t="s">
        <v>73</v>
      </c>
      <c r="AY15" s="125" t="s">
        <v>158</v>
      </c>
      <c r="AZ15" s="125" t="s">
        <v>158</v>
      </c>
      <c r="BA15" s="125" t="s">
        <v>158</v>
      </c>
    </row>
    <row r="16" spans="1:66" x14ac:dyDescent="0.2">
      <c r="A16" s="125" t="s">
        <v>154</v>
      </c>
      <c r="B16" s="125" t="s">
        <v>238</v>
      </c>
      <c r="C16" s="125" t="s">
        <v>239</v>
      </c>
      <c r="D16" s="125" t="s">
        <v>73</v>
      </c>
      <c r="E16" s="125" t="s">
        <v>72</v>
      </c>
      <c r="F16" s="125" t="s">
        <v>72</v>
      </c>
      <c r="G16" s="125" t="s">
        <v>73</v>
      </c>
      <c r="H16" s="125"/>
      <c r="I16">
        <v>14</v>
      </c>
      <c r="J16">
        <v>10</v>
      </c>
      <c r="L16">
        <v>4</v>
      </c>
      <c r="Q16">
        <v>0</v>
      </c>
      <c r="R16">
        <v>0</v>
      </c>
      <c r="S16">
        <v>0</v>
      </c>
      <c r="T16">
        <v>0</v>
      </c>
      <c r="U16" s="125" t="s">
        <v>73</v>
      </c>
      <c r="V16">
        <v>0</v>
      </c>
      <c r="W16">
        <v>0</v>
      </c>
      <c r="X16">
        <v>0</v>
      </c>
      <c r="Y16">
        <v>0</v>
      </c>
      <c r="Z16">
        <v>0</v>
      </c>
      <c r="AA16">
        <v>0</v>
      </c>
      <c r="AB16">
        <v>0</v>
      </c>
      <c r="AC16" s="125" t="s">
        <v>73</v>
      </c>
      <c r="AD16">
        <v>4</v>
      </c>
      <c r="AE16">
        <v>4</v>
      </c>
      <c r="AF16">
        <v>0</v>
      </c>
      <c r="AG16">
        <v>4</v>
      </c>
      <c r="AH16">
        <v>0</v>
      </c>
      <c r="AI16">
        <v>60</v>
      </c>
      <c r="AJ16">
        <v>12</v>
      </c>
      <c r="AK16" s="125" t="s">
        <v>73</v>
      </c>
      <c r="AL16" s="125" t="s">
        <v>73</v>
      </c>
      <c r="AM16" s="125" t="s">
        <v>73</v>
      </c>
      <c r="AN16" s="125" t="s">
        <v>240</v>
      </c>
      <c r="AO16" s="56">
        <v>46004.44740740741</v>
      </c>
      <c r="AP16" s="56">
        <v>46004.405740740738</v>
      </c>
      <c r="AQ16" s="125" t="s">
        <v>73</v>
      </c>
      <c r="AR16" s="125" t="s">
        <v>73</v>
      </c>
      <c r="AS16" s="125" t="s">
        <v>73</v>
      </c>
      <c r="AT16" s="125" t="s">
        <v>73</v>
      </c>
      <c r="AU16" s="125" t="s">
        <v>73</v>
      </c>
      <c r="AV16" s="125" t="s">
        <v>73</v>
      </c>
      <c r="AW16">
        <v>0</v>
      </c>
      <c r="AX16" s="125" t="s">
        <v>73</v>
      </c>
      <c r="AY16" s="125" t="s">
        <v>158</v>
      </c>
      <c r="AZ16" s="125" t="s">
        <v>158</v>
      </c>
      <c r="BA16" s="125" t="s">
        <v>158</v>
      </c>
    </row>
    <row r="17" spans="1:53" x14ac:dyDescent="0.2">
      <c r="A17" s="125" t="s">
        <v>154</v>
      </c>
      <c r="B17" s="125" t="s">
        <v>209</v>
      </c>
      <c r="C17" s="125" t="s">
        <v>210</v>
      </c>
      <c r="D17" s="125" t="s">
        <v>73</v>
      </c>
      <c r="E17" s="125" t="s">
        <v>72</v>
      </c>
      <c r="F17" s="125" t="s">
        <v>72</v>
      </c>
      <c r="G17" s="125" t="s">
        <v>72</v>
      </c>
      <c r="H17" s="125" t="s">
        <v>72</v>
      </c>
      <c r="I17">
        <v>8</v>
      </c>
      <c r="J17">
        <v>4</v>
      </c>
      <c r="N17">
        <v>4</v>
      </c>
      <c r="Q17">
        <v>3</v>
      </c>
      <c r="R17">
        <v>1</v>
      </c>
      <c r="S17">
        <v>2</v>
      </c>
      <c r="T17">
        <v>0</v>
      </c>
      <c r="U17" s="125" t="s">
        <v>73</v>
      </c>
      <c r="V17">
        <v>0</v>
      </c>
      <c r="W17">
        <v>0</v>
      </c>
      <c r="X17">
        <v>8</v>
      </c>
      <c r="Y17">
        <v>6</v>
      </c>
      <c r="Z17">
        <v>1</v>
      </c>
      <c r="AA17">
        <v>0</v>
      </c>
      <c r="AB17">
        <v>1</v>
      </c>
      <c r="AC17" s="125" t="s">
        <v>73</v>
      </c>
      <c r="AD17">
        <v>6</v>
      </c>
      <c r="AE17">
        <v>0</v>
      </c>
      <c r="AF17">
        <v>0</v>
      </c>
      <c r="AG17">
        <v>6</v>
      </c>
      <c r="AH17">
        <v>1</v>
      </c>
      <c r="AI17">
        <v>75</v>
      </c>
      <c r="AJ17">
        <v>27</v>
      </c>
      <c r="AK17" s="125" t="s">
        <v>72</v>
      </c>
      <c r="AL17" s="125" t="s">
        <v>73</v>
      </c>
      <c r="AM17" s="125" t="s">
        <v>73</v>
      </c>
      <c r="AN17" s="125" t="s">
        <v>222</v>
      </c>
      <c r="AO17" s="56">
        <v>46002.949131944442</v>
      </c>
      <c r="AP17" s="56">
        <v>46002.907465277778</v>
      </c>
      <c r="AQ17" s="125" t="s">
        <v>73</v>
      </c>
      <c r="AR17" s="125" t="s">
        <v>73</v>
      </c>
      <c r="AS17" s="125" t="s">
        <v>73</v>
      </c>
      <c r="AT17" s="125" t="s">
        <v>73</v>
      </c>
      <c r="AU17" s="125" t="s">
        <v>73</v>
      </c>
      <c r="AV17" s="125" t="s">
        <v>73</v>
      </c>
      <c r="AW17">
        <v>0</v>
      </c>
      <c r="AX17" s="125" t="s">
        <v>73</v>
      </c>
      <c r="AY17" s="125" t="s">
        <v>158</v>
      </c>
      <c r="AZ17" s="125" t="s">
        <v>158</v>
      </c>
      <c r="BA17" s="125" t="s">
        <v>158</v>
      </c>
    </row>
    <row r="18" spans="1:53" x14ac:dyDescent="0.2">
      <c r="A18" s="125" t="s">
        <v>154</v>
      </c>
      <c r="B18" s="125" t="s">
        <v>199</v>
      </c>
      <c r="C18" s="125" t="s">
        <v>200</v>
      </c>
      <c r="D18" s="125" t="s">
        <v>73</v>
      </c>
      <c r="E18" s="125" t="s">
        <v>72</v>
      </c>
      <c r="F18" s="125" t="s">
        <v>73</v>
      </c>
      <c r="G18" s="125" t="s">
        <v>73</v>
      </c>
      <c r="H18" s="125"/>
      <c r="I18">
        <v>4</v>
      </c>
      <c r="Q18">
        <v>0</v>
      </c>
      <c r="R18">
        <v>0</v>
      </c>
      <c r="S18">
        <v>0</v>
      </c>
      <c r="T18">
        <v>0</v>
      </c>
      <c r="U18" s="125" t="s">
        <v>73</v>
      </c>
      <c r="V18">
        <v>0</v>
      </c>
      <c r="W18">
        <v>0</v>
      </c>
      <c r="X18">
        <v>0</v>
      </c>
      <c r="Y18">
        <v>0</v>
      </c>
      <c r="Z18">
        <v>0</v>
      </c>
      <c r="AA18">
        <v>0</v>
      </c>
      <c r="AB18">
        <v>0</v>
      </c>
      <c r="AC18" s="125" t="s">
        <v>72</v>
      </c>
      <c r="AD18">
        <v>6</v>
      </c>
      <c r="AE18">
        <v>6</v>
      </c>
      <c r="AF18">
        <v>0</v>
      </c>
      <c r="AG18">
        <v>6</v>
      </c>
      <c r="AH18">
        <v>0</v>
      </c>
      <c r="AI18">
        <v>30</v>
      </c>
      <c r="AJ18">
        <v>0</v>
      </c>
      <c r="AK18" s="125" t="s">
        <v>73</v>
      </c>
      <c r="AL18" s="125" t="s">
        <v>73</v>
      </c>
      <c r="AM18" s="125" t="s">
        <v>73</v>
      </c>
      <c r="AN18" s="125" t="s">
        <v>201</v>
      </c>
      <c r="AO18" s="56">
        <v>46000.938506944447</v>
      </c>
      <c r="AP18" s="56">
        <v>46000.896840277775</v>
      </c>
      <c r="AQ18" s="125" t="s">
        <v>73</v>
      </c>
      <c r="AR18" s="125" t="s">
        <v>73</v>
      </c>
      <c r="AS18" s="125" t="s">
        <v>73</v>
      </c>
      <c r="AT18" s="125" t="s">
        <v>73</v>
      </c>
      <c r="AU18" s="125" t="s">
        <v>73</v>
      </c>
      <c r="AV18" s="125" t="s">
        <v>73</v>
      </c>
      <c r="AW18">
        <v>0</v>
      </c>
      <c r="AX18" s="125" t="s">
        <v>73</v>
      </c>
      <c r="AY18" s="125" t="s">
        <v>158</v>
      </c>
      <c r="AZ18" s="125" t="s">
        <v>158</v>
      </c>
      <c r="BA18" s="125" t="s">
        <v>158</v>
      </c>
    </row>
    <row r="19" spans="1:53" x14ac:dyDescent="0.2">
      <c r="A19" s="125" t="s">
        <v>154</v>
      </c>
      <c r="B19" s="125" t="s">
        <v>162</v>
      </c>
      <c r="C19" s="125" t="s">
        <v>163</v>
      </c>
      <c r="D19" s="125" t="s">
        <v>73</v>
      </c>
      <c r="E19" s="125" t="s">
        <v>72</v>
      </c>
      <c r="F19" s="125" t="s">
        <v>72</v>
      </c>
      <c r="G19" s="125" t="s">
        <v>73</v>
      </c>
      <c r="H19" s="125"/>
      <c r="I19">
        <v>8</v>
      </c>
      <c r="Q19">
        <v>0</v>
      </c>
      <c r="R19">
        <v>0</v>
      </c>
      <c r="S19">
        <v>0</v>
      </c>
      <c r="T19">
        <v>0</v>
      </c>
      <c r="U19" s="125" t="s">
        <v>73</v>
      </c>
      <c r="V19">
        <v>0</v>
      </c>
      <c r="W19">
        <v>0</v>
      </c>
      <c r="X19">
        <v>3</v>
      </c>
      <c r="Y19">
        <v>3</v>
      </c>
      <c r="Z19">
        <v>0</v>
      </c>
      <c r="AA19">
        <v>0</v>
      </c>
      <c r="AB19">
        <v>0</v>
      </c>
      <c r="AC19" s="125" t="s">
        <v>72</v>
      </c>
      <c r="AD19">
        <v>6</v>
      </c>
      <c r="AE19">
        <v>4</v>
      </c>
      <c r="AF19">
        <v>0</v>
      </c>
      <c r="AG19">
        <v>6</v>
      </c>
      <c r="AH19">
        <v>0</v>
      </c>
      <c r="AI19">
        <v>60</v>
      </c>
      <c r="AJ19">
        <v>6</v>
      </c>
      <c r="AK19" s="125" t="s">
        <v>72</v>
      </c>
      <c r="AL19" s="125" t="s">
        <v>72</v>
      </c>
      <c r="AM19" s="125" t="s">
        <v>73</v>
      </c>
      <c r="AN19" s="125" t="s">
        <v>164</v>
      </c>
      <c r="AO19" s="56">
        <v>45993.926157407404</v>
      </c>
      <c r="AP19" s="56">
        <v>45993.88449074074</v>
      </c>
      <c r="AQ19" s="125" t="s">
        <v>73</v>
      </c>
      <c r="AR19" s="125" t="s">
        <v>73</v>
      </c>
      <c r="AS19" s="125" t="s">
        <v>73</v>
      </c>
      <c r="AT19" s="125" t="s">
        <v>73</v>
      </c>
      <c r="AU19" s="125" t="s">
        <v>73</v>
      </c>
      <c r="AV19" s="125" t="s">
        <v>73</v>
      </c>
      <c r="AW19">
        <v>0</v>
      </c>
      <c r="AX19" s="125" t="s">
        <v>73</v>
      </c>
      <c r="AY19" s="125" t="s">
        <v>158</v>
      </c>
      <c r="AZ19" s="125" t="s">
        <v>158</v>
      </c>
      <c r="BA19" s="125" t="s">
        <v>158</v>
      </c>
    </row>
    <row r="20" spans="1:53" x14ac:dyDescent="0.2">
      <c r="A20" t="s">
        <v>79</v>
      </c>
      <c r="C20">
        <f>SUBTOTAL(103,KDL[Naam vereniging])</f>
        <v>14</v>
      </c>
      <c r="D20" s="1">
        <f>COUNTIF(KDL[Delegatie],"x")</f>
        <v>3</v>
      </c>
      <c r="E20" s="1">
        <f>COUNTIF(KDL[Muziekkorps tijdens mars en defilé],"x")</f>
        <v>14</v>
      </c>
      <c r="F20" s="1">
        <f>COUNTIF(KDL[Deelname jeugdkoningschieten],"x")</f>
        <v>7</v>
      </c>
      <c r="G20" s="7">
        <f>COUNTIF(KDL[Maj. Senioren jureren bij mars],"x")</f>
        <v>1</v>
      </c>
      <c r="H20" s="7">
        <f>COUNTIF(KDL[Maj. Jeugd jureren bij mars],"x")</f>
        <v>1</v>
      </c>
      <c r="I20" s="1">
        <f>SUBTOTAL(109,KDL[Korps senioren])</f>
        <v>114</v>
      </c>
      <c r="J20" s="1">
        <f>SUBTOTAL(109,KDL[Junioren korps 1])</f>
        <v>53</v>
      </c>
      <c r="K20" s="1">
        <f>SUBTOTAL(109,KDL[Junioren korps 2])</f>
        <v>0</v>
      </c>
      <c r="L20" s="1">
        <f>SUBTOTAL(109,KDL[Aspiranten korps 1])</f>
        <v>29</v>
      </c>
      <c r="M20" s="1">
        <f>SUBTOTAL(109,KDL[Aspiranten korps 2])</f>
        <v>0</v>
      </c>
      <c r="N20" s="1">
        <f>SUBTOTAL(109,KDL[Acrobatisch senioren])</f>
        <v>14</v>
      </c>
      <c r="O20" s="1">
        <f>SUBTOTAL(109,KDL[Acrobatisch junioren])</f>
        <v>4</v>
      </c>
      <c r="P20" s="1">
        <f>SUBTOTAL(109,KDL[Acrobatisch aspiranten])</f>
        <v>0</v>
      </c>
      <c r="Q20">
        <f>SUBTOTAL(109,KDL[Opgeven vendeliers ind.])</f>
        <v>7</v>
      </c>
      <c r="R20">
        <f>SUBTOTAL(109,KDL[Acrob. senioren indiv.])</f>
        <v>3</v>
      </c>
      <c r="S20">
        <f>SUBTOTAL(109,KDL[Acrob. junioren indiv.])</f>
        <v>3</v>
      </c>
      <c r="T20">
        <f>SUBTOTAL(109,KDL[Acrob. aspiranten indiv.])</f>
        <v>1</v>
      </c>
      <c r="U20" s="7">
        <f>COUNTIF(KDL[Deelname hoofdkorps],"x")</f>
        <v>0</v>
      </c>
      <c r="V20" s="1">
        <f>SUBTOTAL(109,KDL[Groepen, teams, ensembles en duo''s])</f>
        <v>0</v>
      </c>
      <c r="W20" s="1">
        <f>SUBTOTAL(109,KDL[Aantal opgegeven majorettes])</f>
        <v>0</v>
      </c>
      <c r="X20">
        <f>SUBTOTAL(109,KDL[Opgeven bielemannen])</f>
        <v>26</v>
      </c>
      <c r="Y20" s="1">
        <f>SUBTOTAL(109,KDL[Senioren])</f>
        <v>21</v>
      </c>
      <c r="Z20" s="1">
        <f>SUBTOTAL(109,KDL[Jong Volwassene])</f>
        <v>3</v>
      </c>
      <c r="AA20" s="1">
        <f>SUBTOTAL(109,KDL[Junioren])</f>
        <v>1</v>
      </c>
      <c r="AB20" s="1">
        <f>SUBTOTAL(109,KDL[Aspiranten])</f>
        <v>1</v>
      </c>
      <c r="AC20" s="7">
        <f>COUNTIF(KDL[Deelname marketentsters],"x")</f>
        <v>4</v>
      </c>
      <c r="AD20">
        <f>SUBTOTAL(109,KDL[Aantal luchtgeweerschutters])</f>
        <v>63</v>
      </c>
      <c r="AE20" s="1">
        <f>SUBTOTAL(109,KDL[Aantal luchtpistoolschutters])</f>
        <v>49</v>
      </c>
      <c r="AF20">
        <f>SUBTOTAL(109,KDL[Aantal handboogschutters])</f>
        <v>0</v>
      </c>
      <c r="AG20" s="1">
        <f>SUBTOTAL(109,KDL[Aantal kruisboogschutters])</f>
        <v>52</v>
      </c>
      <c r="AH20">
        <f>SUBTOTAL(109,KDL[(Aantal jeugdkorpsen])</f>
        <v>9</v>
      </c>
      <c r="AI20" s="1">
        <f>SUBTOTAL(109,KDL[Totaal aantal deelnemers])</f>
        <v>902</v>
      </c>
      <c r="AJ20" s="1">
        <f>SUBTOTAL(109,KDL[Waarvan aantal jeugd (t/m 15 jaar)])</f>
        <v>159</v>
      </c>
      <c r="AK20" s="55">
        <f>COUNTIF(KDL[Kanon etc.],"x")</f>
        <v>7</v>
      </c>
      <c r="AL20" s="1">
        <f>COUNTIF(KDL[Paarden en/of koetsen],"x")</f>
        <v>6</v>
      </c>
      <c r="AM20" s="44"/>
      <c r="AN20" s="1"/>
      <c r="AO20" s="1"/>
      <c r="AP20" s="1"/>
      <c r="AQ20" s="1"/>
      <c r="AR20" s="1"/>
      <c r="AS20" s="1"/>
      <c r="AT20" s="1"/>
      <c r="AU20" s="1"/>
      <c r="AV20" s="1"/>
      <c r="AW20" s="1">
        <f>SUBTOTAL(109,KDL[Korps bestaat uit ... deelnemers (hoofdkorps)])</f>
        <v>0</v>
      </c>
      <c r="AY20" s="1"/>
      <c r="AZ20" s="1"/>
      <c r="BA20" s="1"/>
    </row>
  </sheetData>
  <mergeCells count="13">
    <mergeCell ref="A1:BA1"/>
    <mergeCell ref="A2:BA2"/>
    <mergeCell ref="D3:H4"/>
    <mergeCell ref="J3:T3"/>
    <mergeCell ref="X3:AB4"/>
    <mergeCell ref="AC3:AC4"/>
    <mergeCell ref="AD3:AH4"/>
    <mergeCell ref="AI3:AQ4"/>
    <mergeCell ref="AR3:AW4"/>
    <mergeCell ref="AX3:BA4"/>
    <mergeCell ref="I4:M4"/>
    <mergeCell ref="N4:P4"/>
    <mergeCell ref="Q4:T4"/>
  </mergeCells>
  <phoneticPr fontId="2"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40E9-934D-46C6-9E7F-C57A0A7E69F5}">
  <dimension ref="A1:BA28"/>
  <sheetViews>
    <sheetView zoomScale="110" zoomScaleNormal="110" workbookViewId="0">
      <pane xSplit="3" ySplit="4" topLeftCell="AB5" activePane="bottomRight" state="frozen"/>
      <selection pane="topRight" activeCell="D1" sqref="D1"/>
      <selection pane="bottomLeft" activeCell="A7" sqref="A7"/>
      <selection pane="bottomRight" activeCell="R9" sqref="R9"/>
    </sheetView>
  </sheetViews>
  <sheetFormatPr baseColWidth="10" defaultColWidth="9.1640625" defaultRowHeight="15" x14ac:dyDescent="0.2"/>
  <cols>
    <col min="1" max="1" width="11" bestFit="1" customWidth="1"/>
    <col min="2" max="2" width="9.1640625" bestFit="1" customWidth="1"/>
    <col min="3" max="3" width="58.83203125" bestFit="1" customWidth="1"/>
    <col min="4" max="6" width="3.6640625" style="1" bestFit="1" customWidth="1"/>
    <col min="7" max="7" width="5.5" style="1" bestFit="1" customWidth="1"/>
    <col min="8" max="8" width="3.6640625" style="1" bestFit="1" customWidth="1"/>
    <col min="9" max="9" width="4.1640625" style="1" bestFit="1" customWidth="1"/>
    <col min="10" max="34" width="3.6640625" style="1" bestFit="1" customWidth="1"/>
    <col min="35" max="36" width="4.1640625" style="1" bestFit="1" customWidth="1"/>
    <col min="37" max="38" width="3.6640625" style="1" bestFit="1" customWidth="1"/>
    <col min="39" max="39" width="60.5" bestFit="1" customWidth="1"/>
    <col min="40" max="40" width="5.1640625" style="1" bestFit="1" customWidth="1"/>
    <col min="41" max="42" width="15" style="1" bestFit="1" customWidth="1"/>
    <col min="43" max="43" width="35.33203125" style="1" bestFit="1" customWidth="1"/>
    <col min="44" max="44" width="21.83203125" style="1" bestFit="1" customWidth="1"/>
    <col min="45" max="46" width="31" style="1" bestFit="1" customWidth="1"/>
    <col min="47" max="47" width="20.6640625" style="1" bestFit="1" customWidth="1"/>
    <col min="48" max="48" width="25.33203125" style="1" bestFit="1" customWidth="1"/>
    <col min="49" max="49" width="4.1640625" style="1" bestFit="1" customWidth="1"/>
    <col min="50" max="50" width="3.6640625" style="1" bestFit="1" customWidth="1"/>
    <col min="51" max="51" width="50" style="1" bestFit="1" customWidth="1"/>
    <col min="52" max="52" width="49.33203125" style="1" bestFit="1" customWidth="1"/>
    <col min="53" max="53" width="41.83203125" style="1" bestFit="1" customWidth="1"/>
  </cols>
  <sheetData>
    <row r="1" spans="1:53" ht="27" customHeight="1" x14ac:dyDescent="0.2">
      <c r="A1" s="106" t="s">
        <v>82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row>
    <row r="2" spans="1:53" ht="20" thickBot="1" x14ac:dyDescent="0.3">
      <c r="A2" s="107" t="s">
        <v>174</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row>
    <row r="3" spans="1:53" s="23" customFormat="1" ht="16" thickBot="1" x14ac:dyDescent="0.25">
      <c r="A3" s="67"/>
      <c r="B3" s="68"/>
      <c r="C3" s="69"/>
      <c r="D3" s="93" t="s">
        <v>1</v>
      </c>
      <c r="E3" s="94"/>
      <c r="F3" s="94"/>
      <c r="G3" s="94"/>
      <c r="H3" s="95"/>
      <c r="I3" s="72"/>
      <c r="J3" s="108" t="s">
        <v>2</v>
      </c>
      <c r="K3" s="108"/>
      <c r="L3" s="108"/>
      <c r="M3" s="108"/>
      <c r="N3" s="108"/>
      <c r="O3" s="108"/>
      <c r="P3" s="108"/>
      <c r="Q3" s="108"/>
      <c r="R3" s="108"/>
      <c r="S3" s="108"/>
      <c r="T3" s="108"/>
      <c r="U3" s="17" t="s">
        <v>3</v>
      </c>
      <c r="V3" s="11" t="s">
        <v>150</v>
      </c>
      <c r="W3" s="13"/>
      <c r="X3" s="93" t="s">
        <v>5</v>
      </c>
      <c r="Y3" s="94"/>
      <c r="Z3" s="94"/>
      <c r="AA3" s="94"/>
      <c r="AB3" s="95"/>
      <c r="AC3" s="104" t="s">
        <v>151</v>
      </c>
      <c r="AD3" s="93" t="s">
        <v>7</v>
      </c>
      <c r="AE3" s="94"/>
      <c r="AF3" s="94"/>
      <c r="AG3" s="94"/>
      <c r="AH3" s="95"/>
      <c r="AI3" s="93" t="s">
        <v>8</v>
      </c>
      <c r="AJ3" s="94"/>
      <c r="AK3" s="94"/>
      <c r="AL3" s="94"/>
      <c r="AM3" s="94"/>
      <c r="AN3" s="94"/>
      <c r="AO3" s="94"/>
      <c r="AP3" s="94"/>
      <c r="AQ3" s="95"/>
      <c r="AR3" s="87" t="s">
        <v>9</v>
      </c>
      <c r="AS3" s="88"/>
      <c r="AT3" s="88"/>
      <c r="AU3" s="88"/>
      <c r="AV3" s="88"/>
      <c r="AW3" s="89"/>
      <c r="AX3" s="93" t="s">
        <v>152</v>
      </c>
      <c r="AY3" s="94"/>
      <c r="AZ3" s="94"/>
      <c r="BA3" s="95"/>
    </row>
    <row r="4" spans="1:53" s="23" customFormat="1" ht="16" thickBot="1" x14ac:dyDescent="0.25">
      <c r="A4" s="70"/>
      <c r="B4" s="71"/>
      <c r="C4" s="61"/>
      <c r="D4" s="96"/>
      <c r="E4" s="97"/>
      <c r="F4" s="97"/>
      <c r="G4" s="97"/>
      <c r="H4" s="98"/>
      <c r="I4" s="99" t="s">
        <v>11</v>
      </c>
      <c r="J4" s="102"/>
      <c r="K4" s="102"/>
      <c r="L4" s="102"/>
      <c r="M4" s="103"/>
      <c r="N4" s="99" t="s">
        <v>87</v>
      </c>
      <c r="O4" s="100"/>
      <c r="P4" s="101"/>
      <c r="Q4" s="99" t="s">
        <v>14</v>
      </c>
      <c r="R4" s="100"/>
      <c r="S4" s="100"/>
      <c r="T4" s="100"/>
      <c r="U4" s="18"/>
      <c r="V4" s="14"/>
      <c r="W4" s="16"/>
      <c r="X4" s="96"/>
      <c r="Y4" s="97"/>
      <c r="Z4" s="97"/>
      <c r="AA4" s="97"/>
      <c r="AB4" s="98"/>
      <c r="AC4" s="105"/>
      <c r="AD4" s="96"/>
      <c r="AE4" s="97"/>
      <c r="AF4" s="97"/>
      <c r="AG4" s="97"/>
      <c r="AH4" s="98"/>
      <c r="AI4" s="96"/>
      <c r="AJ4" s="97"/>
      <c r="AK4" s="97"/>
      <c r="AL4" s="97"/>
      <c r="AM4" s="97"/>
      <c r="AN4" s="97"/>
      <c r="AO4" s="97"/>
      <c r="AP4" s="97"/>
      <c r="AQ4" s="98"/>
      <c r="AR4" s="90"/>
      <c r="AS4" s="91"/>
      <c r="AT4" s="91"/>
      <c r="AU4" s="91"/>
      <c r="AV4" s="91"/>
      <c r="AW4" s="92"/>
      <c r="AX4" s="96"/>
      <c r="AY4" s="97"/>
      <c r="AZ4" s="97"/>
      <c r="BA4" s="98"/>
    </row>
    <row r="5" spans="1:53" s="74" customFormat="1" ht="278" thickBot="1" x14ac:dyDescent="0.25">
      <c r="A5" s="73" t="s">
        <v>17</v>
      </c>
      <c r="B5" s="73" t="s">
        <v>149</v>
      </c>
      <c r="C5" s="73" t="s">
        <v>19</v>
      </c>
      <c r="D5" s="77" t="s">
        <v>20</v>
      </c>
      <c r="E5" s="78" t="s">
        <v>141</v>
      </c>
      <c r="F5" s="78" t="s">
        <v>142</v>
      </c>
      <c r="G5" s="78" t="s">
        <v>23</v>
      </c>
      <c r="H5" s="79" t="s">
        <v>24</v>
      </c>
      <c r="I5" s="77" t="s">
        <v>25</v>
      </c>
      <c r="J5" s="78" t="s">
        <v>121</v>
      </c>
      <c r="K5" s="78" t="s">
        <v>122</v>
      </c>
      <c r="L5" s="78" t="s">
        <v>123</v>
      </c>
      <c r="M5" s="78" t="s">
        <v>124</v>
      </c>
      <c r="N5" s="78" t="s">
        <v>26</v>
      </c>
      <c r="O5" s="78" t="s">
        <v>27</v>
      </c>
      <c r="P5" s="78" t="s">
        <v>28</v>
      </c>
      <c r="Q5" s="78" t="s">
        <v>146</v>
      </c>
      <c r="R5" s="78" t="s">
        <v>133</v>
      </c>
      <c r="S5" s="78" t="s">
        <v>134</v>
      </c>
      <c r="T5" s="79" t="s">
        <v>135</v>
      </c>
      <c r="U5" s="80" t="s">
        <v>144</v>
      </c>
      <c r="V5" s="77" t="s">
        <v>105</v>
      </c>
      <c r="W5" s="79" t="s">
        <v>71</v>
      </c>
      <c r="X5" s="77" t="s">
        <v>147</v>
      </c>
      <c r="Y5" s="78" t="s">
        <v>38</v>
      </c>
      <c r="Z5" s="78" t="s">
        <v>140</v>
      </c>
      <c r="AA5" s="78" t="s">
        <v>39</v>
      </c>
      <c r="AB5" s="79" t="s">
        <v>40</v>
      </c>
      <c r="AC5" s="80" t="s">
        <v>143</v>
      </c>
      <c r="AD5" s="77" t="s">
        <v>117</v>
      </c>
      <c r="AE5" s="78" t="s">
        <v>118</v>
      </c>
      <c r="AF5" s="78" t="s">
        <v>119</v>
      </c>
      <c r="AG5" s="78" t="s">
        <v>120</v>
      </c>
      <c r="AH5" s="79" t="s">
        <v>148</v>
      </c>
      <c r="AI5" s="81" t="s">
        <v>46</v>
      </c>
      <c r="AJ5" s="78" t="s">
        <v>47</v>
      </c>
      <c r="AK5" s="78" t="s">
        <v>48</v>
      </c>
      <c r="AL5" s="78" t="s">
        <v>49</v>
      </c>
      <c r="AM5" s="82" t="s">
        <v>50</v>
      </c>
      <c r="AN5" s="78" t="s">
        <v>51</v>
      </c>
      <c r="AO5" s="78" t="s">
        <v>52</v>
      </c>
      <c r="AP5" s="78" t="s">
        <v>103</v>
      </c>
      <c r="AQ5" s="79" t="s">
        <v>53</v>
      </c>
      <c r="AR5" s="77" t="s">
        <v>54</v>
      </c>
      <c r="AS5" s="78" t="s">
        <v>55</v>
      </c>
      <c r="AT5" s="78" t="s">
        <v>56</v>
      </c>
      <c r="AU5" s="78" t="s">
        <v>57</v>
      </c>
      <c r="AV5" s="78" t="s">
        <v>58</v>
      </c>
      <c r="AW5" s="78" t="s">
        <v>59</v>
      </c>
      <c r="AX5" s="78" t="s">
        <v>145</v>
      </c>
      <c r="AY5" s="78" t="s">
        <v>67</v>
      </c>
      <c r="AZ5" s="78" t="s">
        <v>68</v>
      </c>
      <c r="BA5" s="78" t="s">
        <v>69</v>
      </c>
    </row>
    <row r="6" spans="1:53" ht="16" x14ac:dyDescent="0.2">
      <c r="A6" s="125" t="s">
        <v>153</v>
      </c>
      <c r="B6" s="125" t="s">
        <v>295</v>
      </c>
      <c r="C6" s="125" t="s">
        <v>296</v>
      </c>
      <c r="D6" s="125" t="s">
        <v>73</v>
      </c>
      <c r="E6" s="125" t="s">
        <v>72</v>
      </c>
      <c r="F6" s="125" t="s">
        <v>72</v>
      </c>
      <c r="G6" s="125" t="s">
        <v>73</v>
      </c>
      <c r="H6" s="125"/>
      <c r="I6">
        <v>4</v>
      </c>
      <c r="J6"/>
      <c r="K6"/>
      <c r="L6"/>
      <c r="M6"/>
      <c r="N6"/>
      <c r="O6"/>
      <c r="P6"/>
      <c r="Q6">
        <v>0</v>
      </c>
      <c r="R6">
        <v>0</v>
      </c>
      <c r="S6">
        <v>0</v>
      </c>
      <c r="T6">
        <v>0</v>
      </c>
      <c r="U6" s="125" t="s">
        <v>73</v>
      </c>
      <c r="V6">
        <v>0</v>
      </c>
      <c r="W6">
        <v>0</v>
      </c>
      <c r="X6">
        <v>0</v>
      </c>
      <c r="Y6">
        <v>0</v>
      </c>
      <c r="Z6">
        <v>0</v>
      </c>
      <c r="AA6">
        <v>0</v>
      </c>
      <c r="AB6">
        <v>0</v>
      </c>
      <c r="AC6" s="125" t="s">
        <v>73</v>
      </c>
      <c r="AD6">
        <v>0</v>
      </c>
      <c r="AE6">
        <v>0</v>
      </c>
      <c r="AF6">
        <v>0</v>
      </c>
      <c r="AG6">
        <v>0</v>
      </c>
      <c r="AH6">
        <v>0</v>
      </c>
      <c r="AI6">
        <v>15</v>
      </c>
      <c r="AJ6">
        <v>10</v>
      </c>
      <c r="AK6" s="125" t="s">
        <v>73</v>
      </c>
      <c r="AL6" s="125" t="s">
        <v>73</v>
      </c>
      <c r="AM6" s="126" t="s">
        <v>73</v>
      </c>
      <c r="AN6" s="125" t="s">
        <v>457</v>
      </c>
      <c r="AO6" s="56">
        <v>46022.69935185185</v>
      </c>
      <c r="AP6" s="56">
        <v>46022.657685185186</v>
      </c>
      <c r="AQ6" s="125" t="s">
        <v>73</v>
      </c>
      <c r="AR6" s="125" t="s">
        <v>73</v>
      </c>
      <c r="AS6" s="125" t="s">
        <v>73</v>
      </c>
      <c r="AT6" s="125" t="s">
        <v>73</v>
      </c>
      <c r="AU6" s="125" t="s">
        <v>73</v>
      </c>
      <c r="AV6" s="125" t="s">
        <v>73</v>
      </c>
      <c r="AW6">
        <v>0</v>
      </c>
      <c r="AX6" s="125" t="s">
        <v>73</v>
      </c>
      <c r="AY6" s="125" t="s">
        <v>158</v>
      </c>
      <c r="AZ6" s="125" t="s">
        <v>158</v>
      </c>
      <c r="BA6" s="125" t="s">
        <v>158</v>
      </c>
    </row>
    <row r="7" spans="1:53" ht="64" x14ac:dyDescent="0.2">
      <c r="A7" s="125" t="s">
        <v>153</v>
      </c>
      <c r="B7" s="125" t="s">
        <v>332</v>
      </c>
      <c r="C7" s="125" t="s">
        <v>333</v>
      </c>
      <c r="D7" s="125" t="s">
        <v>72</v>
      </c>
      <c r="E7" s="125" t="s">
        <v>73</v>
      </c>
      <c r="F7" s="125" t="s">
        <v>73</v>
      </c>
      <c r="G7" s="125" t="s">
        <v>73</v>
      </c>
      <c r="H7" s="125"/>
      <c r="I7"/>
      <c r="J7"/>
      <c r="K7"/>
      <c r="L7"/>
      <c r="M7"/>
      <c r="N7"/>
      <c r="O7"/>
      <c r="P7"/>
      <c r="Q7">
        <v>0</v>
      </c>
      <c r="R7">
        <v>0</v>
      </c>
      <c r="S7">
        <v>0</v>
      </c>
      <c r="T7">
        <v>0</v>
      </c>
      <c r="U7" s="125" t="s">
        <v>73</v>
      </c>
      <c r="V7">
        <v>0</v>
      </c>
      <c r="W7">
        <v>0</v>
      </c>
      <c r="X7">
        <v>0</v>
      </c>
      <c r="Y7">
        <v>0</v>
      </c>
      <c r="Z7">
        <v>0</v>
      </c>
      <c r="AA7">
        <v>0</v>
      </c>
      <c r="AB7">
        <v>0</v>
      </c>
      <c r="AC7" s="125" t="s">
        <v>73</v>
      </c>
      <c r="AD7">
        <v>0</v>
      </c>
      <c r="AE7">
        <v>0</v>
      </c>
      <c r="AF7">
        <v>0</v>
      </c>
      <c r="AG7">
        <v>0</v>
      </c>
      <c r="AH7">
        <v>0</v>
      </c>
      <c r="AI7">
        <v>10</v>
      </c>
      <c r="AJ7">
        <v>0</v>
      </c>
      <c r="AK7" s="125" t="s">
        <v>73</v>
      </c>
      <c r="AL7" s="125" t="s">
        <v>73</v>
      </c>
      <c r="AM7" s="126" t="s">
        <v>439</v>
      </c>
      <c r="AN7" s="125" t="s">
        <v>440</v>
      </c>
      <c r="AO7" s="56">
        <v>46020.842615740738</v>
      </c>
      <c r="AP7" s="56">
        <v>46020.894224537034</v>
      </c>
      <c r="AQ7" s="125" t="s">
        <v>73</v>
      </c>
      <c r="AR7" s="125" t="s">
        <v>73</v>
      </c>
      <c r="AS7" s="125" t="s">
        <v>73</v>
      </c>
      <c r="AT7" s="125" t="s">
        <v>73</v>
      </c>
      <c r="AU7" s="125" t="s">
        <v>73</v>
      </c>
      <c r="AV7" s="125" t="s">
        <v>73</v>
      </c>
      <c r="AW7">
        <v>0</v>
      </c>
      <c r="AX7" s="125" t="s">
        <v>73</v>
      </c>
      <c r="AY7" s="125" t="s">
        <v>158</v>
      </c>
      <c r="AZ7" s="125" t="s">
        <v>158</v>
      </c>
      <c r="BA7" s="125" t="s">
        <v>158</v>
      </c>
    </row>
    <row r="8" spans="1:53" ht="32" x14ac:dyDescent="0.2">
      <c r="A8" s="125" t="s">
        <v>153</v>
      </c>
      <c r="B8" s="125" t="s">
        <v>292</v>
      </c>
      <c r="C8" s="125" t="s">
        <v>293</v>
      </c>
      <c r="D8" s="125" t="s">
        <v>72</v>
      </c>
      <c r="E8" s="125" t="s">
        <v>73</v>
      </c>
      <c r="F8" s="125" t="s">
        <v>73</v>
      </c>
      <c r="G8" s="125" t="s">
        <v>72</v>
      </c>
      <c r="H8" s="125" t="s">
        <v>72</v>
      </c>
      <c r="I8">
        <v>6</v>
      </c>
      <c r="J8"/>
      <c r="K8"/>
      <c r="L8"/>
      <c r="M8"/>
      <c r="N8"/>
      <c r="O8"/>
      <c r="P8"/>
      <c r="Q8">
        <v>0</v>
      </c>
      <c r="R8">
        <v>0</v>
      </c>
      <c r="S8">
        <v>0</v>
      </c>
      <c r="T8">
        <v>0</v>
      </c>
      <c r="U8" s="125" t="s">
        <v>73</v>
      </c>
      <c r="V8">
        <v>3</v>
      </c>
      <c r="W8">
        <v>8</v>
      </c>
      <c r="X8">
        <v>0</v>
      </c>
      <c r="Y8">
        <v>0</v>
      </c>
      <c r="Z8">
        <v>0</v>
      </c>
      <c r="AA8">
        <v>0</v>
      </c>
      <c r="AB8">
        <v>0</v>
      </c>
      <c r="AC8" s="125" t="s">
        <v>73</v>
      </c>
      <c r="AD8">
        <v>0</v>
      </c>
      <c r="AE8">
        <v>0</v>
      </c>
      <c r="AF8">
        <v>0</v>
      </c>
      <c r="AG8">
        <v>0</v>
      </c>
      <c r="AH8">
        <v>0</v>
      </c>
      <c r="AI8">
        <v>15</v>
      </c>
      <c r="AJ8">
        <v>5</v>
      </c>
      <c r="AK8" s="125" t="s">
        <v>73</v>
      </c>
      <c r="AL8" s="125" t="s">
        <v>73</v>
      </c>
      <c r="AM8" s="126" t="s">
        <v>425</v>
      </c>
      <c r="AN8" s="125" t="s">
        <v>426</v>
      </c>
      <c r="AO8" s="56">
        <v>46019.812615740739</v>
      </c>
      <c r="AP8" s="56">
        <v>46019.770949074074</v>
      </c>
      <c r="AQ8" s="125" t="s">
        <v>73</v>
      </c>
      <c r="AR8" s="125" t="s">
        <v>73</v>
      </c>
      <c r="AS8" s="125" t="s">
        <v>73</v>
      </c>
      <c r="AT8" s="125" t="s">
        <v>73</v>
      </c>
      <c r="AU8" s="125" t="s">
        <v>73</v>
      </c>
      <c r="AV8" s="125" t="s">
        <v>73</v>
      </c>
      <c r="AW8">
        <v>0</v>
      </c>
      <c r="AX8" s="125" t="s">
        <v>75</v>
      </c>
      <c r="AY8" s="125" t="s">
        <v>427</v>
      </c>
      <c r="AZ8" s="125" t="s">
        <v>245</v>
      </c>
      <c r="BA8" s="125" t="s">
        <v>428</v>
      </c>
    </row>
    <row r="9" spans="1:53" ht="16" x14ac:dyDescent="0.2">
      <c r="A9" s="125" t="s">
        <v>153</v>
      </c>
      <c r="B9" s="125" t="s">
        <v>412</v>
      </c>
      <c r="C9" s="125" t="s">
        <v>413</v>
      </c>
      <c r="D9" s="125" t="s">
        <v>73</v>
      </c>
      <c r="E9" s="125" t="s">
        <v>72</v>
      </c>
      <c r="F9" s="125" t="s">
        <v>72</v>
      </c>
      <c r="G9" s="125" t="s">
        <v>73</v>
      </c>
      <c r="H9" s="125"/>
      <c r="I9"/>
      <c r="J9"/>
      <c r="K9"/>
      <c r="L9"/>
      <c r="M9"/>
      <c r="N9"/>
      <c r="O9"/>
      <c r="P9"/>
      <c r="Q9">
        <v>0</v>
      </c>
      <c r="R9">
        <v>0</v>
      </c>
      <c r="S9">
        <v>0</v>
      </c>
      <c r="T9">
        <v>0</v>
      </c>
      <c r="U9" s="125" t="s">
        <v>73</v>
      </c>
      <c r="V9">
        <v>0</v>
      </c>
      <c r="W9">
        <v>0</v>
      </c>
      <c r="X9">
        <v>0</v>
      </c>
      <c r="Y9">
        <v>0</v>
      </c>
      <c r="Z9">
        <v>0</v>
      </c>
      <c r="AA9">
        <v>0</v>
      </c>
      <c r="AB9">
        <v>0</v>
      </c>
      <c r="AC9" s="125" t="s">
        <v>73</v>
      </c>
      <c r="AD9">
        <v>6</v>
      </c>
      <c r="AE9">
        <v>6</v>
      </c>
      <c r="AF9">
        <v>6</v>
      </c>
      <c r="AG9">
        <v>6</v>
      </c>
      <c r="AH9">
        <v>1</v>
      </c>
      <c r="AI9">
        <v>20</v>
      </c>
      <c r="AJ9">
        <v>4</v>
      </c>
      <c r="AK9" s="125" t="s">
        <v>73</v>
      </c>
      <c r="AL9" s="125" t="s">
        <v>73</v>
      </c>
      <c r="AM9" s="126" t="s">
        <v>73</v>
      </c>
      <c r="AN9" s="125" t="s">
        <v>414</v>
      </c>
      <c r="AO9" s="56">
        <v>46019.467060185183</v>
      </c>
      <c r="AP9" s="56">
        <v>46019.425393518519</v>
      </c>
      <c r="AQ9" s="125" t="s">
        <v>73</v>
      </c>
      <c r="AR9" s="125" t="s">
        <v>73</v>
      </c>
      <c r="AS9" s="125" t="s">
        <v>73</v>
      </c>
      <c r="AT9" s="125" t="s">
        <v>73</v>
      </c>
      <c r="AU9" s="125" t="s">
        <v>73</v>
      </c>
      <c r="AV9" s="125" t="s">
        <v>73</v>
      </c>
      <c r="AW9">
        <v>0</v>
      </c>
      <c r="AX9" s="125" t="s">
        <v>73</v>
      </c>
      <c r="AY9" s="125" t="s">
        <v>158</v>
      </c>
      <c r="AZ9" s="125" t="s">
        <v>158</v>
      </c>
      <c r="BA9" s="125" t="s">
        <v>158</v>
      </c>
    </row>
    <row r="10" spans="1:53" ht="16" x14ac:dyDescent="0.2">
      <c r="A10" s="125" t="s">
        <v>153</v>
      </c>
      <c r="B10" s="125" t="s">
        <v>403</v>
      </c>
      <c r="C10" s="125" t="s">
        <v>404</v>
      </c>
      <c r="D10" s="125" t="s">
        <v>73</v>
      </c>
      <c r="E10" s="125" t="s">
        <v>72</v>
      </c>
      <c r="F10" s="125" t="s">
        <v>72</v>
      </c>
      <c r="G10" s="125" t="s">
        <v>73</v>
      </c>
      <c r="H10" s="125"/>
      <c r="I10">
        <v>8</v>
      </c>
      <c r="J10"/>
      <c r="K10"/>
      <c r="L10"/>
      <c r="M10"/>
      <c r="N10">
        <v>4</v>
      </c>
      <c r="O10"/>
      <c r="P10"/>
      <c r="Q10">
        <v>2</v>
      </c>
      <c r="R10">
        <v>2</v>
      </c>
      <c r="S10">
        <v>0</v>
      </c>
      <c r="T10">
        <v>0</v>
      </c>
      <c r="U10" s="125" t="s">
        <v>72</v>
      </c>
      <c r="V10">
        <v>0</v>
      </c>
      <c r="W10">
        <v>0</v>
      </c>
      <c r="X10">
        <v>3</v>
      </c>
      <c r="Y10">
        <v>3</v>
      </c>
      <c r="Z10">
        <v>0</v>
      </c>
      <c r="AA10">
        <v>0</v>
      </c>
      <c r="AB10">
        <v>0</v>
      </c>
      <c r="AC10" s="125" t="s">
        <v>73</v>
      </c>
      <c r="AD10">
        <v>6</v>
      </c>
      <c r="AE10">
        <v>6</v>
      </c>
      <c r="AF10">
        <v>0</v>
      </c>
      <c r="AG10">
        <v>6</v>
      </c>
      <c r="AH10">
        <v>1</v>
      </c>
      <c r="AI10">
        <v>65</v>
      </c>
      <c r="AJ10">
        <v>5</v>
      </c>
      <c r="AK10" s="125" t="s">
        <v>73</v>
      </c>
      <c r="AL10" s="125" t="s">
        <v>73</v>
      </c>
      <c r="AM10" s="126" t="s">
        <v>73</v>
      </c>
      <c r="AN10" s="125" t="s">
        <v>405</v>
      </c>
      <c r="AO10" s="56">
        <v>46018.568622685183</v>
      </c>
      <c r="AP10" s="56">
        <v>46018.526956018519</v>
      </c>
      <c r="AQ10" s="125" t="s">
        <v>404</v>
      </c>
      <c r="AR10" s="125" t="s">
        <v>78</v>
      </c>
      <c r="AS10" s="125" t="s">
        <v>179</v>
      </c>
      <c r="AT10" s="125" t="s">
        <v>219</v>
      </c>
      <c r="AU10" s="125" t="s">
        <v>406</v>
      </c>
      <c r="AV10" s="125" t="s">
        <v>406</v>
      </c>
      <c r="AW10">
        <v>35</v>
      </c>
      <c r="AX10" s="125" t="s">
        <v>73</v>
      </c>
      <c r="AY10" s="125" t="s">
        <v>158</v>
      </c>
      <c r="AZ10" s="125" t="s">
        <v>158</v>
      </c>
      <c r="BA10" s="125" t="s">
        <v>158</v>
      </c>
    </row>
    <row r="11" spans="1:53" ht="16" x14ac:dyDescent="0.2">
      <c r="A11" s="125" t="s">
        <v>153</v>
      </c>
      <c r="B11" s="125" t="s">
        <v>355</v>
      </c>
      <c r="C11" s="125" t="s">
        <v>356</v>
      </c>
      <c r="D11" s="125" t="s">
        <v>73</v>
      </c>
      <c r="E11" s="125" t="s">
        <v>72</v>
      </c>
      <c r="F11" s="125" t="s">
        <v>72</v>
      </c>
      <c r="G11" s="125" t="s">
        <v>73</v>
      </c>
      <c r="H11" s="125"/>
      <c r="I11">
        <v>6</v>
      </c>
      <c r="J11"/>
      <c r="K11"/>
      <c r="L11">
        <v>7</v>
      </c>
      <c r="M11"/>
      <c r="N11"/>
      <c r="O11"/>
      <c r="P11"/>
      <c r="Q11">
        <v>0</v>
      </c>
      <c r="R11">
        <v>0</v>
      </c>
      <c r="S11">
        <v>0</v>
      </c>
      <c r="T11">
        <v>0</v>
      </c>
      <c r="U11" s="125" t="s">
        <v>73</v>
      </c>
      <c r="V11">
        <v>0</v>
      </c>
      <c r="W11">
        <v>0</v>
      </c>
      <c r="X11">
        <v>4</v>
      </c>
      <c r="Y11">
        <v>4</v>
      </c>
      <c r="Z11">
        <v>0</v>
      </c>
      <c r="AA11">
        <v>0</v>
      </c>
      <c r="AB11">
        <v>0</v>
      </c>
      <c r="AC11" s="125" t="s">
        <v>72</v>
      </c>
      <c r="AD11">
        <v>4</v>
      </c>
      <c r="AE11">
        <v>4</v>
      </c>
      <c r="AF11">
        <v>0</v>
      </c>
      <c r="AG11">
        <v>0</v>
      </c>
      <c r="AH11">
        <v>0</v>
      </c>
      <c r="AI11">
        <v>80</v>
      </c>
      <c r="AJ11">
        <v>16</v>
      </c>
      <c r="AK11" s="125" t="s">
        <v>73</v>
      </c>
      <c r="AL11" s="125" t="s">
        <v>73</v>
      </c>
      <c r="AM11" s="126" t="s">
        <v>73</v>
      </c>
      <c r="AN11" s="125" t="s">
        <v>373</v>
      </c>
      <c r="AO11" s="56">
        <v>46015.467453703706</v>
      </c>
      <c r="AP11" s="56">
        <v>46020.429606481484</v>
      </c>
      <c r="AQ11" s="125" t="s">
        <v>73</v>
      </c>
      <c r="AR11" s="125" t="s">
        <v>73</v>
      </c>
      <c r="AS11" s="125" t="s">
        <v>73</v>
      </c>
      <c r="AT11" s="125" t="s">
        <v>73</v>
      </c>
      <c r="AU11" s="125" t="s">
        <v>73</v>
      </c>
      <c r="AV11" s="125" t="s">
        <v>73</v>
      </c>
      <c r="AW11">
        <v>0</v>
      </c>
      <c r="AX11" s="125" t="s">
        <v>73</v>
      </c>
      <c r="AY11" s="125" t="s">
        <v>158</v>
      </c>
      <c r="AZ11" s="125" t="s">
        <v>158</v>
      </c>
      <c r="BA11" s="125" t="s">
        <v>158</v>
      </c>
    </row>
    <row r="12" spans="1:53" ht="16" x14ac:dyDescent="0.2">
      <c r="A12" s="125" t="s">
        <v>153</v>
      </c>
      <c r="B12" s="125" t="s">
        <v>206</v>
      </c>
      <c r="C12" s="125" t="s">
        <v>207</v>
      </c>
      <c r="D12" s="125" t="s">
        <v>73</v>
      </c>
      <c r="E12" s="125" t="s">
        <v>72</v>
      </c>
      <c r="F12" s="125" t="s">
        <v>72</v>
      </c>
      <c r="G12" s="125" t="s">
        <v>262</v>
      </c>
      <c r="H12" s="125"/>
      <c r="I12">
        <v>7</v>
      </c>
      <c r="J12">
        <v>3</v>
      </c>
      <c r="K12"/>
      <c r="L12"/>
      <c r="M12"/>
      <c r="N12"/>
      <c r="O12"/>
      <c r="P12"/>
      <c r="Q12">
        <v>1</v>
      </c>
      <c r="R12">
        <v>1</v>
      </c>
      <c r="S12">
        <v>0</v>
      </c>
      <c r="T12">
        <v>0</v>
      </c>
      <c r="U12" s="125" t="s">
        <v>73</v>
      </c>
      <c r="V12">
        <v>7</v>
      </c>
      <c r="W12">
        <v>10</v>
      </c>
      <c r="X12">
        <v>0</v>
      </c>
      <c r="Y12">
        <v>0</v>
      </c>
      <c r="Z12">
        <v>0</v>
      </c>
      <c r="AA12">
        <v>0</v>
      </c>
      <c r="AB12">
        <v>0</v>
      </c>
      <c r="AC12" s="125" t="s">
        <v>73</v>
      </c>
      <c r="AD12">
        <v>6</v>
      </c>
      <c r="AE12">
        <v>6</v>
      </c>
      <c r="AF12">
        <v>0</v>
      </c>
      <c r="AG12">
        <v>6</v>
      </c>
      <c r="AH12">
        <v>4</v>
      </c>
      <c r="AI12">
        <v>45</v>
      </c>
      <c r="AJ12">
        <v>16</v>
      </c>
      <c r="AK12" s="125" t="s">
        <v>73</v>
      </c>
      <c r="AL12" s="125" t="s">
        <v>73</v>
      </c>
      <c r="AM12" s="126" t="s">
        <v>73</v>
      </c>
      <c r="AN12" s="125" t="s">
        <v>374</v>
      </c>
      <c r="AO12" s="56">
        <v>46014.895694444444</v>
      </c>
      <c r="AP12" s="56">
        <v>46014.87027777778</v>
      </c>
      <c r="AQ12" s="125" t="s">
        <v>73</v>
      </c>
      <c r="AR12" s="125" t="s">
        <v>73</v>
      </c>
      <c r="AS12" s="125" t="s">
        <v>73</v>
      </c>
      <c r="AT12" s="125" t="s">
        <v>73</v>
      </c>
      <c r="AU12" s="125" t="s">
        <v>73</v>
      </c>
      <c r="AV12" s="125" t="s">
        <v>73</v>
      </c>
      <c r="AW12">
        <v>0</v>
      </c>
      <c r="AX12" s="125" t="s">
        <v>75</v>
      </c>
      <c r="AY12" s="125" t="s">
        <v>375</v>
      </c>
      <c r="AZ12" s="125" t="s">
        <v>376</v>
      </c>
      <c r="BA12" s="125" t="s">
        <v>377</v>
      </c>
    </row>
    <row r="13" spans="1:53" ht="16" x14ac:dyDescent="0.2">
      <c r="A13" s="125" t="s">
        <v>153</v>
      </c>
      <c r="B13" s="125" t="s">
        <v>378</v>
      </c>
      <c r="C13" s="125" t="s">
        <v>379</v>
      </c>
      <c r="D13" s="125" t="s">
        <v>73</v>
      </c>
      <c r="E13" s="125" t="s">
        <v>72</v>
      </c>
      <c r="F13" s="125" t="s">
        <v>73</v>
      </c>
      <c r="G13" s="125" t="s">
        <v>73</v>
      </c>
      <c r="H13" s="125"/>
      <c r="I13">
        <v>6</v>
      </c>
      <c r="J13"/>
      <c r="K13"/>
      <c r="L13"/>
      <c r="M13"/>
      <c r="N13"/>
      <c r="O13"/>
      <c r="P13"/>
      <c r="Q13">
        <v>0</v>
      </c>
      <c r="R13">
        <v>0</v>
      </c>
      <c r="S13">
        <v>0</v>
      </c>
      <c r="T13">
        <v>0</v>
      </c>
      <c r="U13" s="125" t="s">
        <v>73</v>
      </c>
      <c r="V13">
        <v>0</v>
      </c>
      <c r="W13">
        <v>0</v>
      </c>
      <c r="X13">
        <v>0</v>
      </c>
      <c r="Y13">
        <v>0</v>
      </c>
      <c r="Z13">
        <v>0</v>
      </c>
      <c r="AA13">
        <v>0</v>
      </c>
      <c r="AB13">
        <v>0</v>
      </c>
      <c r="AC13" s="125" t="s">
        <v>73</v>
      </c>
      <c r="AD13">
        <v>4</v>
      </c>
      <c r="AE13">
        <v>0</v>
      </c>
      <c r="AF13">
        <v>0</v>
      </c>
      <c r="AG13">
        <v>0</v>
      </c>
      <c r="AH13">
        <v>0</v>
      </c>
      <c r="AI13">
        <v>25</v>
      </c>
      <c r="AJ13">
        <v>2</v>
      </c>
      <c r="AK13" s="125" t="s">
        <v>73</v>
      </c>
      <c r="AL13" s="125" t="s">
        <v>73</v>
      </c>
      <c r="AM13" s="126" t="s">
        <v>73</v>
      </c>
      <c r="AN13" s="125" t="s">
        <v>380</v>
      </c>
      <c r="AO13" s="56">
        <v>46014.850069444445</v>
      </c>
      <c r="AP13" s="56">
        <v>46014.80840277778</v>
      </c>
      <c r="AQ13" s="125" t="s">
        <v>73</v>
      </c>
      <c r="AR13" s="125" t="s">
        <v>73</v>
      </c>
      <c r="AS13" s="125" t="s">
        <v>73</v>
      </c>
      <c r="AT13" s="125" t="s">
        <v>73</v>
      </c>
      <c r="AU13" s="125" t="s">
        <v>73</v>
      </c>
      <c r="AV13" s="125" t="s">
        <v>73</v>
      </c>
      <c r="AW13">
        <v>0</v>
      </c>
      <c r="AX13" s="125" t="s">
        <v>73</v>
      </c>
      <c r="AY13" s="125" t="s">
        <v>158</v>
      </c>
      <c r="AZ13" s="125" t="s">
        <v>158</v>
      </c>
      <c r="BA13" s="125" t="s">
        <v>158</v>
      </c>
    </row>
    <row r="14" spans="1:53" ht="16" x14ac:dyDescent="0.2">
      <c r="A14" s="125" t="s">
        <v>153</v>
      </c>
      <c r="B14" s="125" t="s">
        <v>381</v>
      </c>
      <c r="C14" s="125" t="s">
        <v>382</v>
      </c>
      <c r="D14" s="125" t="s">
        <v>73</v>
      </c>
      <c r="E14" s="125" t="s">
        <v>72</v>
      </c>
      <c r="F14" s="125" t="s">
        <v>72</v>
      </c>
      <c r="G14" s="125" t="s">
        <v>73</v>
      </c>
      <c r="H14" s="125"/>
      <c r="I14">
        <v>5</v>
      </c>
      <c r="J14"/>
      <c r="K14"/>
      <c r="L14"/>
      <c r="M14"/>
      <c r="N14"/>
      <c r="O14"/>
      <c r="P14"/>
      <c r="Q14">
        <v>0</v>
      </c>
      <c r="R14">
        <v>0</v>
      </c>
      <c r="S14">
        <v>0</v>
      </c>
      <c r="T14">
        <v>0</v>
      </c>
      <c r="U14" s="125" t="s">
        <v>72</v>
      </c>
      <c r="V14">
        <v>0</v>
      </c>
      <c r="W14">
        <v>0</v>
      </c>
      <c r="X14">
        <v>0</v>
      </c>
      <c r="Y14">
        <v>0</v>
      </c>
      <c r="Z14">
        <v>0</v>
      </c>
      <c r="AA14">
        <v>0</v>
      </c>
      <c r="AB14">
        <v>0</v>
      </c>
      <c r="AC14" s="125" t="s">
        <v>73</v>
      </c>
      <c r="AD14">
        <v>6</v>
      </c>
      <c r="AE14">
        <v>6</v>
      </c>
      <c r="AF14">
        <v>0</v>
      </c>
      <c r="AG14">
        <v>6</v>
      </c>
      <c r="AH14">
        <v>0</v>
      </c>
      <c r="AI14">
        <v>45</v>
      </c>
      <c r="AJ14">
        <v>0</v>
      </c>
      <c r="AK14" s="125" t="s">
        <v>73</v>
      </c>
      <c r="AL14" s="125" t="s">
        <v>73</v>
      </c>
      <c r="AM14" s="126" t="s">
        <v>73</v>
      </c>
      <c r="AN14" s="125" t="s">
        <v>383</v>
      </c>
      <c r="AO14" s="56">
        <v>46014.804375</v>
      </c>
      <c r="AP14" s="56">
        <v>46014.762708333335</v>
      </c>
      <c r="AQ14" s="125" t="s">
        <v>382</v>
      </c>
      <c r="AR14" s="125" t="s">
        <v>78</v>
      </c>
      <c r="AS14" s="125" t="s">
        <v>76</v>
      </c>
      <c r="AT14" s="125" t="s">
        <v>77</v>
      </c>
      <c r="AU14" s="125" t="s">
        <v>384</v>
      </c>
      <c r="AV14" s="125" t="s">
        <v>385</v>
      </c>
      <c r="AW14">
        <v>30</v>
      </c>
      <c r="AX14" s="125" t="s">
        <v>73</v>
      </c>
      <c r="AY14" s="125" t="s">
        <v>158</v>
      </c>
      <c r="AZ14" s="125" t="s">
        <v>158</v>
      </c>
      <c r="BA14" s="125" t="s">
        <v>158</v>
      </c>
    </row>
    <row r="15" spans="1:53" ht="32" x14ac:dyDescent="0.2">
      <c r="A15" s="125" t="s">
        <v>153</v>
      </c>
      <c r="B15" s="125" t="s">
        <v>324</v>
      </c>
      <c r="C15" s="125" t="s">
        <v>325</v>
      </c>
      <c r="D15" s="125" t="s">
        <v>73</v>
      </c>
      <c r="E15" s="125" t="s">
        <v>72</v>
      </c>
      <c r="F15" s="125" t="s">
        <v>72</v>
      </c>
      <c r="G15" s="125" t="s">
        <v>73</v>
      </c>
      <c r="H15" s="125"/>
      <c r="I15">
        <v>6</v>
      </c>
      <c r="J15"/>
      <c r="K15"/>
      <c r="L15"/>
      <c r="M15"/>
      <c r="N15"/>
      <c r="O15"/>
      <c r="P15"/>
      <c r="Q15">
        <v>3</v>
      </c>
      <c r="R15">
        <v>2</v>
      </c>
      <c r="S15">
        <v>1</v>
      </c>
      <c r="T15">
        <v>0</v>
      </c>
      <c r="U15" s="125" t="s">
        <v>72</v>
      </c>
      <c r="V15">
        <v>0</v>
      </c>
      <c r="W15">
        <v>0</v>
      </c>
      <c r="X15">
        <v>0</v>
      </c>
      <c r="Y15">
        <v>0</v>
      </c>
      <c r="Z15">
        <v>0</v>
      </c>
      <c r="AA15">
        <v>0</v>
      </c>
      <c r="AB15">
        <v>0</v>
      </c>
      <c r="AC15" s="125" t="s">
        <v>72</v>
      </c>
      <c r="AD15">
        <v>6</v>
      </c>
      <c r="AE15">
        <v>6</v>
      </c>
      <c r="AF15">
        <v>0</v>
      </c>
      <c r="AG15">
        <v>6</v>
      </c>
      <c r="AH15">
        <v>0</v>
      </c>
      <c r="AI15">
        <v>55</v>
      </c>
      <c r="AJ15">
        <v>1</v>
      </c>
      <c r="AK15" s="125" t="s">
        <v>73</v>
      </c>
      <c r="AL15" s="125" t="s">
        <v>73</v>
      </c>
      <c r="AM15" s="126" t="s">
        <v>326</v>
      </c>
      <c r="AN15" s="125" t="s">
        <v>327</v>
      </c>
      <c r="AO15" s="56">
        <v>46011.823935185188</v>
      </c>
      <c r="AP15" s="56">
        <v>46011.782268518517</v>
      </c>
      <c r="AQ15" s="125" t="s">
        <v>325</v>
      </c>
      <c r="AR15" s="125" t="s">
        <v>78</v>
      </c>
      <c r="AS15" s="125" t="s">
        <v>179</v>
      </c>
      <c r="AT15" s="125" t="s">
        <v>77</v>
      </c>
      <c r="AU15" s="125" t="s">
        <v>328</v>
      </c>
      <c r="AV15" s="125" t="s">
        <v>329</v>
      </c>
      <c r="AW15">
        <v>35</v>
      </c>
      <c r="AX15" s="125" t="s">
        <v>73</v>
      </c>
      <c r="AY15" s="125" t="s">
        <v>158</v>
      </c>
      <c r="AZ15" s="125" t="s">
        <v>158</v>
      </c>
      <c r="BA15" s="125" t="s">
        <v>158</v>
      </c>
    </row>
    <row r="16" spans="1:53" ht="48" x14ac:dyDescent="0.2">
      <c r="A16" s="125" t="s">
        <v>153</v>
      </c>
      <c r="B16" s="125" t="s">
        <v>306</v>
      </c>
      <c r="C16" s="125" t="s">
        <v>307</v>
      </c>
      <c r="D16" s="125" t="s">
        <v>73</v>
      </c>
      <c r="E16" s="125" t="s">
        <v>72</v>
      </c>
      <c r="F16" s="125" t="s">
        <v>72</v>
      </c>
      <c r="G16" s="125" t="s">
        <v>72</v>
      </c>
      <c r="H16" s="125" t="s">
        <v>72</v>
      </c>
      <c r="I16">
        <v>10</v>
      </c>
      <c r="J16"/>
      <c r="K16"/>
      <c r="L16">
        <v>13</v>
      </c>
      <c r="M16">
        <v>0</v>
      </c>
      <c r="N16"/>
      <c r="O16"/>
      <c r="P16"/>
      <c r="Q16">
        <v>0</v>
      </c>
      <c r="R16">
        <v>0</v>
      </c>
      <c r="S16">
        <v>0</v>
      </c>
      <c r="T16">
        <v>0</v>
      </c>
      <c r="U16" s="125" t="s">
        <v>72</v>
      </c>
      <c r="V16">
        <v>6</v>
      </c>
      <c r="W16">
        <v>11</v>
      </c>
      <c r="X16">
        <v>1</v>
      </c>
      <c r="Y16">
        <v>1</v>
      </c>
      <c r="Z16">
        <v>0</v>
      </c>
      <c r="AA16">
        <v>0</v>
      </c>
      <c r="AB16">
        <v>0</v>
      </c>
      <c r="AC16" s="125" t="s">
        <v>72</v>
      </c>
      <c r="AD16">
        <v>6</v>
      </c>
      <c r="AE16">
        <v>0</v>
      </c>
      <c r="AF16">
        <v>0</v>
      </c>
      <c r="AG16">
        <v>6</v>
      </c>
      <c r="AH16">
        <v>0</v>
      </c>
      <c r="AI16">
        <v>12</v>
      </c>
      <c r="AJ16">
        <v>1</v>
      </c>
      <c r="AK16" s="125" t="s">
        <v>73</v>
      </c>
      <c r="AL16" s="125" t="s">
        <v>73</v>
      </c>
      <c r="AM16" s="126" t="s">
        <v>308</v>
      </c>
      <c r="AN16" s="125" t="s">
        <v>309</v>
      </c>
      <c r="AO16" s="56">
        <v>46011.564583333333</v>
      </c>
      <c r="AP16" s="56">
        <v>46011.522916666669</v>
      </c>
      <c r="AQ16" s="125" t="s">
        <v>307</v>
      </c>
      <c r="AR16" s="125" t="s">
        <v>307</v>
      </c>
      <c r="AS16" s="125" t="s">
        <v>179</v>
      </c>
      <c r="AT16" s="125" t="s">
        <v>77</v>
      </c>
      <c r="AU16" s="125" t="s">
        <v>310</v>
      </c>
      <c r="AV16" s="125" t="s">
        <v>311</v>
      </c>
      <c r="AW16">
        <v>50</v>
      </c>
      <c r="AX16" s="125" t="s">
        <v>75</v>
      </c>
      <c r="AY16" s="125" t="s">
        <v>312</v>
      </c>
      <c r="AZ16" s="125" t="s">
        <v>313</v>
      </c>
      <c r="BA16" s="125" t="s">
        <v>314</v>
      </c>
    </row>
    <row r="17" spans="1:53" ht="16" x14ac:dyDescent="0.2">
      <c r="A17" s="125" t="s">
        <v>153</v>
      </c>
      <c r="B17" s="125" t="s">
        <v>315</v>
      </c>
      <c r="C17" s="125" t="s">
        <v>316</v>
      </c>
      <c r="D17" s="125" t="s">
        <v>73</v>
      </c>
      <c r="E17" s="125" t="s">
        <v>72</v>
      </c>
      <c r="F17" s="125" t="s">
        <v>72</v>
      </c>
      <c r="G17" s="125" t="s">
        <v>73</v>
      </c>
      <c r="H17" s="125"/>
      <c r="I17">
        <v>5</v>
      </c>
      <c r="J17"/>
      <c r="K17"/>
      <c r="L17"/>
      <c r="M17"/>
      <c r="N17"/>
      <c r="O17"/>
      <c r="P17"/>
      <c r="Q17">
        <v>0</v>
      </c>
      <c r="R17">
        <v>0</v>
      </c>
      <c r="S17">
        <v>0</v>
      </c>
      <c r="T17">
        <v>0</v>
      </c>
      <c r="U17" s="125" t="s">
        <v>73</v>
      </c>
      <c r="V17">
        <v>0</v>
      </c>
      <c r="W17">
        <v>0</v>
      </c>
      <c r="X17">
        <v>0</v>
      </c>
      <c r="Y17">
        <v>0</v>
      </c>
      <c r="Z17">
        <v>0</v>
      </c>
      <c r="AA17">
        <v>0</v>
      </c>
      <c r="AB17">
        <v>0</v>
      </c>
      <c r="AC17" s="125" t="s">
        <v>73</v>
      </c>
      <c r="AD17">
        <v>4</v>
      </c>
      <c r="AE17">
        <v>4</v>
      </c>
      <c r="AF17">
        <v>0</v>
      </c>
      <c r="AG17">
        <v>4</v>
      </c>
      <c r="AH17">
        <v>0</v>
      </c>
      <c r="AI17">
        <v>25</v>
      </c>
      <c r="AJ17">
        <v>0</v>
      </c>
      <c r="AK17" s="125" t="s">
        <v>73</v>
      </c>
      <c r="AL17" s="125" t="s">
        <v>73</v>
      </c>
      <c r="AM17" s="126" t="s">
        <v>73</v>
      </c>
      <c r="AN17" s="125" t="s">
        <v>317</v>
      </c>
      <c r="AO17" s="56">
        <v>46009.863923611112</v>
      </c>
      <c r="AP17" s="56">
        <v>46009.822256944448</v>
      </c>
      <c r="AQ17" s="125" t="s">
        <v>73</v>
      </c>
      <c r="AR17" s="125" t="s">
        <v>73</v>
      </c>
      <c r="AS17" s="125" t="s">
        <v>73</v>
      </c>
      <c r="AT17" s="125" t="s">
        <v>73</v>
      </c>
      <c r="AU17" s="125" t="s">
        <v>73</v>
      </c>
      <c r="AV17" s="125" t="s">
        <v>73</v>
      </c>
      <c r="AW17">
        <v>0</v>
      </c>
      <c r="AX17" s="125" t="s">
        <v>73</v>
      </c>
      <c r="AY17" s="125" t="s">
        <v>158</v>
      </c>
      <c r="AZ17" s="125" t="s">
        <v>158</v>
      </c>
      <c r="BA17" s="125" t="s">
        <v>158</v>
      </c>
    </row>
    <row r="18" spans="1:53" ht="16" x14ac:dyDescent="0.2">
      <c r="A18" s="125" t="s">
        <v>153</v>
      </c>
      <c r="B18" s="125" t="s">
        <v>267</v>
      </c>
      <c r="C18" s="125" t="s">
        <v>268</v>
      </c>
      <c r="D18" s="125" t="s">
        <v>73</v>
      </c>
      <c r="E18" s="125" t="s">
        <v>72</v>
      </c>
      <c r="F18" s="125" t="s">
        <v>72</v>
      </c>
      <c r="G18" s="125" t="s">
        <v>73</v>
      </c>
      <c r="H18" s="125"/>
      <c r="I18"/>
      <c r="J18"/>
      <c r="K18"/>
      <c r="L18"/>
      <c r="M18"/>
      <c r="N18"/>
      <c r="O18"/>
      <c r="P18"/>
      <c r="Q18">
        <v>0</v>
      </c>
      <c r="R18">
        <v>0</v>
      </c>
      <c r="S18">
        <v>0</v>
      </c>
      <c r="T18">
        <v>0</v>
      </c>
      <c r="U18" s="125" t="s">
        <v>73</v>
      </c>
      <c r="V18">
        <v>0</v>
      </c>
      <c r="W18">
        <v>0</v>
      </c>
      <c r="X18">
        <v>2</v>
      </c>
      <c r="Y18">
        <v>2</v>
      </c>
      <c r="Z18">
        <v>0</v>
      </c>
      <c r="AA18">
        <v>0</v>
      </c>
      <c r="AB18">
        <v>0</v>
      </c>
      <c r="AC18" s="125" t="s">
        <v>73</v>
      </c>
      <c r="AD18">
        <v>6</v>
      </c>
      <c r="AE18">
        <v>6</v>
      </c>
      <c r="AF18">
        <v>0</v>
      </c>
      <c r="AG18">
        <v>6</v>
      </c>
      <c r="AH18">
        <v>0</v>
      </c>
      <c r="AI18">
        <v>25</v>
      </c>
      <c r="AJ18">
        <v>0</v>
      </c>
      <c r="AK18" s="125" t="s">
        <v>73</v>
      </c>
      <c r="AL18" s="125" t="s">
        <v>73</v>
      </c>
      <c r="AM18" s="126" t="s">
        <v>73</v>
      </c>
      <c r="AN18" s="125" t="s">
        <v>271</v>
      </c>
      <c r="AO18" s="56">
        <v>46005.920173611114</v>
      </c>
      <c r="AP18" s="56">
        <v>46005.878506944442</v>
      </c>
      <c r="AQ18" s="125" t="s">
        <v>73</v>
      </c>
      <c r="AR18" s="125" t="s">
        <v>73</v>
      </c>
      <c r="AS18" s="125" t="s">
        <v>73</v>
      </c>
      <c r="AT18" s="125" t="s">
        <v>73</v>
      </c>
      <c r="AU18" s="125" t="s">
        <v>73</v>
      </c>
      <c r="AV18" s="125" t="s">
        <v>73</v>
      </c>
      <c r="AW18">
        <v>0</v>
      </c>
      <c r="AX18" s="125" t="s">
        <v>73</v>
      </c>
      <c r="AY18" s="125" t="s">
        <v>158</v>
      </c>
      <c r="AZ18" s="125" t="s">
        <v>158</v>
      </c>
      <c r="BA18" s="125" t="s">
        <v>158</v>
      </c>
    </row>
    <row r="19" spans="1:53" ht="16" x14ac:dyDescent="0.2">
      <c r="A19" s="125" t="s">
        <v>153</v>
      </c>
      <c r="B19" s="125" t="s">
        <v>224</v>
      </c>
      <c r="C19" s="125" t="s">
        <v>225</v>
      </c>
      <c r="D19" s="125" t="s">
        <v>72</v>
      </c>
      <c r="E19" s="125" t="s">
        <v>72</v>
      </c>
      <c r="F19" s="125" t="s">
        <v>72</v>
      </c>
      <c r="G19" s="125" t="s">
        <v>73</v>
      </c>
      <c r="H19" s="125"/>
      <c r="I19">
        <v>14</v>
      </c>
      <c r="J19">
        <v>4</v>
      </c>
      <c r="K19"/>
      <c r="L19">
        <v>2</v>
      </c>
      <c r="M19"/>
      <c r="N19">
        <v>4</v>
      </c>
      <c r="O19">
        <v>3</v>
      </c>
      <c r="P19"/>
      <c r="Q19">
        <v>6</v>
      </c>
      <c r="R19">
        <v>3</v>
      </c>
      <c r="S19">
        <v>3</v>
      </c>
      <c r="T19">
        <v>0</v>
      </c>
      <c r="U19" s="125" t="s">
        <v>73</v>
      </c>
      <c r="V19">
        <v>0</v>
      </c>
      <c r="W19">
        <v>0</v>
      </c>
      <c r="X19">
        <v>4</v>
      </c>
      <c r="Y19">
        <v>1</v>
      </c>
      <c r="Z19">
        <v>3</v>
      </c>
      <c r="AA19">
        <v>0</v>
      </c>
      <c r="AB19">
        <v>0</v>
      </c>
      <c r="AC19" s="125" t="s">
        <v>73</v>
      </c>
      <c r="AD19">
        <v>4</v>
      </c>
      <c r="AE19">
        <v>4</v>
      </c>
      <c r="AF19">
        <v>0</v>
      </c>
      <c r="AG19">
        <v>0</v>
      </c>
      <c r="AH19">
        <v>1</v>
      </c>
      <c r="AI19">
        <v>66</v>
      </c>
      <c r="AJ19">
        <v>8</v>
      </c>
      <c r="AK19" s="125" t="s">
        <v>72</v>
      </c>
      <c r="AL19" s="125" t="s">
        <v>73</v>
      </c>
      <c r="AM19" s="126" t="s">
        <v>73</v>
      </c>
      <c r="AN19" s="125" t="s">
        <v>237</v>
      </c>
      <c r="AO19" s="56">
        <v>46003.786145833335</v>
      </c>
      <c r="AP19" s="56">
        <v>46003.744479166664</v>
      </c>
      <c r="AQ19" s="125" t="s">
        <v>73</v>
      </c>
      <c r="AR19" s="125" t="s">
        <v>73</v>
      </c>
      <c r="AS19" s="125" t="s">
        <v>73</v>
      </c>
      <c r="AT19" s="125" t="s">
        <v>73</v>
      </c>
      <c r="AU19" s="125" t="s">
        <v>73</v>
      </c>
      <c r="AV19" s="125" t="s">
        <v>73</v>
      </c>
      <c r="AW19">
        <v>0</v>
      </c>
      <c r="AX19" s="125" t="s">
        <v>73</v>
      </c>
      <c r="AY19" s="125" t="s">
        <v>158</v>
      </c>
      <c r="AZ19" s="125" t="s">
        <v>158</v>
      </c>
      <c r="BA19" s="125" t="s">
        <v>158</v>
      </c>
    </row>
    <row r="20" spans="1:53" ht="16" x14ac:dyDescent="0.2">
      <c r="A20" s="125" t="s">
        <v>153</v>
      </c>
      <c r="B20" s="125" t="s">
        <v>216</v>
      </c>
      <c r="C20" s="125" t="s">
        <v>217</v>
      </c>
      <c r="D20" s="125" t="s">
        <v>72</v>
      </c>
      <c r="E20" s="125" t="s">
        <v>72</v>
      </c>
      <c r="F20" s="125" t="s">
        <v>73</v>
      </c>
      <c r="G20" s="125" t="s">
        <v>73</v>
      </c>
      <c r="H20" s="125"/>
      <c r="I20">
        <v>9</v>
      </c>
      <c r="J20">
        <v>3</v>
      </c>
      <c r="K20"/>
      <c r="L20">
        <v>3</v>
      </c>
      <c r="M20"/>
      <c r="N20"/>
      <c r="O20"/>
      <c r="P20"/>
      <c r="Q20">
        <v>0</v>
      </c>
      <c r="R20">
        <v>0</v>
      </c>
      <c r="S20">
        <v>0</v>
      </c>
      <c r="T20">
        <v>0</v>
      </c>
      <c r="U20" s="125" t="s">
        <v>72</v>
      </c>
      <c r="V20">
        <v>0</v>
      </c>
      <c r="W20">
        <v>0</v>
      </c>
      <c r="X20">
        <v>4</v>
      </c>
      <c r="Y20">
        <v>2</v>
      </c>
      <c r="Z20">
        <v>1</v>
      </c>
      <c r="AA20">
        <v>0</v>
      </c>
      <c r="AB20">
        <v>1</v>
      </c>
      <c r="AC20" s="125" t="s">
        <v>72</v>
      </c>
      <c r="AD20">
        <v>3</v>
      </c>
      <c r="AE20">
        <v>3</v>
      </c>
      <c r="AF20">
        <v>0</v>
      </c>
      <c r="AG20">
        <v>3</v>
      </c>
      <c r="AH20">
        <v>0</v>
      </c>
      <c r="AI20">
        <v>77</v>
      </c>
      <c r="AJ20">
        <v>12</v>
      </c>
      <c r="AK20" s="125" t="s">
        <v>73</v>
      </c>
      <c r="AL20" s="125" t="s">
        <v>73</v>
      </c>
      <c r="AM20" s="126" t="s">
        <v>73</v>
      </c>
      <c r="AN20" s="125" t="s">
        <v>218</v>
      </c>
      <c r="AO20" s="56">
        <v>46003.541863425926</v>
      </c>
      <c r="AP20" s="56">
        <v>46003.500196759262</v>
      </c>
      <c r="AQ20" s="125" t="s">
        <v>217</v>
      </c>
      <c r="AR20" s="125" t="s">
        <v>78</v>
      </c>
      <c r="AS20" s="125" t="s">
        <v>76</v>
      </c>
      <c r="AT20" s="125" t="s">
        <v>219</v>
      </c>
      <c r="AU20" s="125" t="s">
        <v>220</v>
      </c>
      <c r="AV20" s="125" t="s">
        <v>221</v>
      </c>
      <c r="AW20">
        <v>20</v>
      </c>
      <c r="AX20" s="125" t="s">
        <v>73</v>
      </c>
      <c r="AY20" s="125" t="s">
        <v>158</v>
      </c>
      <c r="AZ20" s="125" t="s">
        <v>158</v>
      </c>
      <c r="BA20" s="125" t="s">
        <v>158</v>
      </c>
    </row>
    <row r="21" spans="1:53" ht="16" x14ac:dyDescent="0.2">
      <c r="A21" s="125" t="s">
        <v>153</v>
      </c>
      <c r="B21" s="125" t="s">
        <v>188</v>
      </c>
      <c r="C21" s="125" t="s">
        <v>189</v>
      </c>
      <c r="D21" s="125" t="s">
        <v>73</v>
      </c>
      <c r="E21" s="125" t="s">
        <v>72</v>
      </c>
      <c r="F21" s="125" t="s">
        <v>73</v>
      </c>
      <c r="G21" s="125" t="s">
        <v>73</v>
      </c>
      <c r="H21" s="125"/>
      <c r="I21">
        <v>8</v>
      </c>
      <c r="J21"/>
      <c r="K21"/>
      <c r="L21"/>
      <c r="M21"/>
      <c r="N21"/>
      <c r="O21"/>
      <c r="P21"/>
      <c r="Q21">
        <v>0</v>
      </c>
      <c r="R21">
        <v>0</v>
      </c>
      <c r="S21">
        <v>0</v>
      </c>
      <c r="T21">
        <v>0</v>
      </c>
      <c r="U21" s="125" t="s">
        <v>73</v>
      </c>
      <c r="V21">
        <v>0</v>
      </c>
      <c r="W21">
        <v>0</v>
      </c>
      <c r="X21">
        <v>0</v>
      </c>
      <c r="Y21">
        <v>0</v>
      </c>
      <c r="Z21">
        <v>0</v>
      </c>
      <c r="AA21">
        <v>0</v>
      </c>
      <c r="AB21">
        <v>0</v>
      </c>
      <c r="AC21" s="125" t="s">
        <v>73</v>
      </c>
      <c r="AD21">
        <v>0</v>
      </c>
      <c r="AE21">
        <v>0</v>
      </c>
      <c r="AF21">
        <v>0</v>
      </c>
      <c r="AG21">
        <v>0</v>
      </c>
      <c r="AH21">
        <v>0</v>
      </c>
      <c r="AI21">
        <v>11</v>
      </c>
      <c r="AJ21">
        <v>0</v>
      </c>
      <c r="AK21" s="125" t="s">
        <v>73</v>
      </c>
      <c r="AL21" s="125" t="s">
        <v>73</v>
      </c>
      <c r="AM21" s="126" t="s">
        <v>73</v>
      </c>
      <c r="AN21" s="125" t="s">
        <v>190</v>
      </c>
      <c r="AO21" s="56">
        <v>46000.696250000001</v>
      </c>
      <c r="AP21" s="56">
        <v>46000.654583333337</v>
      </c>
      <c r="AQ21" s="125" t="s">
        <v>73</v>
      </c>
      <c r="AR21" s="125" t="s">
        <v>73</v>
      </c>
      <c r="AS21" s="125" t="s">
        <v>73</v>
      </c>
      <c r="AT21" s="125" t="s">
        <v>73</v>
      </c>
      <c r="AU21" s="125" t="s">
        <v>73</v>
      </c>
      <c r="AV21" s="125" t="s">
        <v>73</v>
      </c>
      <c r="AW21">
        <v>0</v>
      </c>
      <c r="AX21" s="125" t="s">
        <v>73</v>
      </c>
      <c r="AY21" s="125" t="s">
        <v>158</v>
      </c>
      <c r="AZ21" s="125" t="s">
        <v>158</v>
      </c>
      <c r="BA21" s="125" t="s">
        <v>158</v>
      </c>
    </row>
    <row r="22" spans="1:53" ht="160" x14ac:dyDescent="0.2">
      <c r="A22" s="125" t="s">
        <v>153</v>
      </c>
      <c r="B22" s="125" t="s">
        <v>165</v>
      </c>
      <c r="C22" s="125" t="s">
        <v>166</v>
      </c>
      <c r="D22" s="125" t="s">
        <v>72</v>
      </c>
      <c r="E22" s="125" t="s">
        <v>73</v>
      </c>
      <c r="F22" s="125" t="s">
        <v>72</v>
      </c>
      <c r="G22" s="125" t="s">
        <v>73</v>
      </c>
      <c r="H22" s="125"/>
      <c r="I22">
        <v>4</v>
      </c>
      <c r="J22"/>
      <c r="K22"/>
      <c r="L22"/>
      <c r="M22"/>
      <c r="N22"/>
      <c r="O22"/>
      <c r="P22"/>
      <c r="Q22">
        <v>0</v>
      </c>
      <c r="R22">
        <v>0</v>
      </c>
      <c r="S22">
        <v>0</v>
      </c>
      <c r="T22">
        <v>0</v>
      </c>
      <c r="U22" s="125" t="s">
        <v>73</v>
      </c>
      <c r="V22">
        <v>0</v>
      </c>
      <c r="W22">
        <v>0</v>
      </c>
      <c r="X22">
        <v>0</v>
      </c>
      <c r="Y22">
        <v>0</v>
      </c>
      <c r="Z22">
        <v>0</v>
      </c>
      <c r="AA22">
        <v>0</v>
      </c>
      <c r="AB22">
        <v>0</v>
      </c>
      <c r="AC22" s="125" t="s">
        <v>73</v>
      </c>
      <c r="AD22">
        <v>6</v>
      </c>
      <c r="AE22">
        <v>6</v>
      </c>
      <c r="AF22">
        <v>0</v>
      </c>
      <c r="AG22">
        <v>0</v>
      </c>
      <c r="AH22">
        <v>0</v>
      </c>
      <c r="AI22">
        <v>10</v>
      </c>
      <c r="AJ22">
        <v>2</v>
      </c>
      <c r="AK22" s="125" t="s">
        <v>73</v>
      </c>
      <c r="AL22" s="125" t="s">
        <v>73</v>
      </c>
      <c r="AM22" s="126" t="s">
        <v>243</v>
      </c>
      <c r="AN22" s="125" t="s">
        <v>191</v>
      </c>
      <c r="AO22" s="56">
        <v>45999.829548611109</v>
      </c>
      <c r="AP22" s="56">
        <v>46004.501238425924</v>
      </c>
      <c r="AQ22" s="125" t="s">
        <v>73</v>
      </c>
      <c r="AR22" s="125" t="s">
        <v>73</v>
      </c>
      <c r="AS22" s="125" t="s">
        <v>73</v>
      </c>
      <c r="AT22" s="125" t="s">
        <v>73</v>
      </c>
      <c r="AU22" s="125" t="s">
        <v>73</v>
      </c>
      <c r="AV22" s="125" t="s">
        <v>73</v>
      </c>
      <c r="AW22">
        <v>0</v>
      </c>
      <c r="AX22" s="125" t="s">
        <v>73</v>
      </c>
      <c r="AY22" s="125" t="s">
        <v>158</v>
      </c>
      <c r="AZ22" s="125" t="s">
        <v>158</v>
      </c>
      <c r="BA22" s="125" t="s">
        <v>158</v>
      </c>
    </row>
    <row r="23" spans="1:53" ht="16" x14ac:dyDescent="0.2">
      <c r="A23" s="125" t="s">
        <v>153</v>
      </c>
      <c r="B23" s="125" t="s">
        <v>176</v>
      </c>
      <c r="C23" s="125" t="s">
        <v>177</v>
      </c>
      <c r="D23" s="125" t="s">
        <v>73</v>
      </c>
      <c r="E23" s="125" t="s">
        <v>72</v>
      </c>
      <c r="F23" s="125" t="s">
        <v>72</v>
      </c>
      <c r="G23" s="125" t="s">
        <v>73</v>
      </c>
      <c r="H23" s="125"/>
      <c r="I23">
        <v>4</v>
      </c>
      <c r="J23"/>
      <c r="K23"/>
      <c r="L23"/>
      <c r="M23"/>
      <c r="N23"/>
      <c r="O23"/>
      <c r="P23"/>
      <c r="Q23">
        <v>0</v>
      </c>
      <c r="R23">
        <v>0</v>
      </c>
      <c r="S23">
        <v>0</v>
      </c>
      <c r="T23">
        <v>0</v>
      </c>
      <c r="U23" s="125" t="s">
        <v>72</v>
      </c>
      <c r="V23">
        <v>0</v>
      </c>
      <c r="W23">
        <v>0</v>
      </c>
      <c r="X23">
        <v>0</v>
      </c>
      <c r="Y23">
        <v>0</v>
      </c>
      <c r="Z23">
        <v>0</v>
      </c>
      <c r="AA23">
        <v>0</v>
      </c>
      <c r="AB23">
        <v>0</v>
      </c>
      <c r="AC23" s="125" t="s">
        <v>73</v>
      </c>
      <c r="AD23">
        <v>6</v>
      </c>
      <c r="AE23">
        <v>6</v>
      </c>
      <c r="AF23">
        <v>0</v>
      </c>
      <c r="AG23">
        <v>6</v>
      </c>
      <c r="AH23">
        <v>0</v>
      </c>
      <c r="AI23">
        <v>40</v>
      </c>
      <c r="AJ23">
        <v>12</v>
      </c>
      <c r="AK23" s="125" t="s">
        <v>72</v>
      </c>
      <c r="AL23" s="125" t="s">
        <v>73</v>
      </c>
      <c r="AM23" s="126" t="s">
        <v>73</v>
      </c>
      <c r="AN23" s="125" t="s">
        <v>178</v>
      </c>
      <c r="AO23" s="56">
        <v>45998.928877314815</v>
      </c>
      <c r="AP23" s="56">
        <v>46006.883460648147</v>
      </c>
      <c r="AQ23" s="125" t="s">
        <v>177</v>
      </c>
      <c r="AR23" s="125" t="s">
        <v>78</v>
      </c>
      <c r="AS23" s="125" t="s">
        <v>179</v>
      </c>
      <c r="AT23" s="125" t="s">
        <v>289</v>
      </c>
      <c r="AU23" s="125" t="s">
        <v>180</v>
      </c>
      <c r="AV23" s="125" t="s">
        <v>181</v>
      </c>
      <c r="AW23">
        <v>12</v>
      </c>
      <c r="AX23" s="125" t="s">
        <v>73</v>
      </c>
      <c r="AY23" s="125" t="s">
        <v>158</v>
      </c>
      <c r="AZ23" s="125" t="s">
        <v>158</v>
      </c>
      <c r="BA23" s="125" t="s">
        <v>158</v>
      </c>
    </row>
    <row r="24" spans="1:53" ht="16" x14ac:dyDescent="0.2">
      <c r="A24" s="125" t="s">
        <v>153</v>
      </c>
      <c r="B24" s="125" t="s">
        <v>182</v>
      </c>
      <c r="C24" s="125" t="s">
        <v>183</v>
      </c>
      <c r="D24" s="125" t="s">
        <v>73</v>
      </c>
      <c r="E24" s="125" t="s">
        <v>72</v>
      </c>
      <c r="F24" s="125" t="s">
        <v>72</v>
      </c>
      <c r="G24" s="125" t="s">
        <v>73</v>
      </c>
      <c r="H24" s="125"/>
      <c r="I24">
        <v>8</v>
      </c>
      <c r="J24">
        <v>3</v>
      </c>
      <c r="K24"/>
      <c r="L24"/>
      <c r="M24"/>
      <c r="N24"/>
      <c r="O24"/>
      <c r="P24"/>
      <c r="Q24">
        <v>0</v>
      </c>
      <c r="R24">
        <v>0</v>
      </c>
      <c r="S24">
        <v>0</v>
      </c>
      <c r="T24">
        <v>0</v>
      </c>
      <c r="U24" s="125" t="s">
        <v>73</v>
      </c>
      <c r="V24">
        <v>0</v>
      </c>
      <c r="W24">
        <v>0</v>
      </c>
      <c r="X24">
        <v>0</v>
      </c>
      <c r="Y24">
        <v>0</v>
      </c>
      <c r="Z24">
        <v>0</v>
      </c>
      <c r="AA24">
        <v>0</v>
      </c>
      <c r="AB24">
        <v>0</v>
      </c>
      <c r="AC24" s="125" t="s">
        <v>72</v>
      </c>
      <c r="AD24">
        <v>0</v>
      </c>
      <c r="AE24">
        <v>0</v>
      </c>
      <c r="AF24">
        <v>0</v>
      </c>
      <c r="AG24">
        <v>0</v>
      </c>
      <c r="AH24">
        <v>2</v>
      </c>
      <c r="AI24">
        <v>35</v>
      </c>
      <c r="AJ24">
        <v>4</v>
      </c>
      <c r="AK24" s="125" t="s">
        <v>73</v>
      </c>
      <c r="AL24" s="125" t="s">
        <v>73</v>
      </c>
      <c r="AM24" s="126" t="s">
        <v>73</v>
      </c>
      <c r="AN24" s="125" t="s">
        <v>184</v>
      </c>
      <c r="AO24" s="56">
        <v>45998.522962962961</v>
      </c>
      <c r="AP24" s="56">
        <v>45998.481296296297</v>
      </c>
      <c r="AQ24" s="125" t="s">
        <v>73</v>
      </c>
      <c r="AR24" s="125" t="s">
        <v>73</v>
      </c>
      <c r="AS24" s="125" t="s">
        <v>73</v>
      </c>
      <c r="AT24" s="125" t="s">
        <v>73</v>
      </c>
      <c r="AU24" s="125" t="s">
        <v>73</v>
      </c>
      <c r="AV24" s="125" t="s">
        <v>73</v>
      </c>
      <c r="AW24">
        <v>0</v>
      </c>
      <c r="AX24" s="125" t="s">
        <v>73</v>
      </c>
      <c r="AY24" s="125" t="s">
        <v>158</v>
      </c>
      <c r="AZ24" s="125" t="s">
        <v>158</v>
      </c>
      <c r="BA24" s="125" t="s">
        <v>158</v>
      </c>
    </row>
    <row r="25" spans="1:53" ht="16" x14ac:dyDescent="0.2">
      <c r="A25" s="125" t="s">
        <v>153</v>
      </c>
      <c r="B25" s="125" t="s">
        <v>155</v>
      </c>
      <c r="C25" s="125" t="s">
        <v>156</v>
      </c>
      <c r="D25" s="125" t="s">
        <v>73</v>
      </c>
      <c r="E25" s="125" t="s">
        <v>72</v>
      </c>
      <c r="F25" s="125" t="s">
        <v>73</v>
      </c>
      <c r="G25" s="125" t="s">
        <v>73</v>
      </c>
      <c r="H25" s="125"/>
      <c r="I25">
        <v>4</v>
      </c>
      <c r="J25"/>
      <c r="K25"/>
      <c r="L25"/>
      <c r="M25"/>
      <c r="N25"/>
      <c r="O25"/>
      <c r="P25"/>
      <c r="Q25">
        <v>0</v>
      </c>
      <c r="R25">
        <v>0</v>
      </c>
      <c r="S25">
        <v>0</v>
      </c>
      <c r="T25">
        <v>0</v>
      </c>
      <c r="U25" s="125" t="s">
        <v>73</v>
      </c>
      <c r="V25">
        <v>0</v>
      </c>
      <c r="W25">
        <v>0</v>
      </c>
      <c r="X25">
        <v>0</v>
      </c>
      <c r="Y25">
        <v>0</v>
      </c>
      <c r="Z25">
        <v>0</v>
      </c>
      <c r="AA25">
        <v>0</v>
      </c>
      <c r="AB25">
        <v>0</v>
      </c>
      <c r="AC25" s="125" t="s">
        <v>73</v>
      </c>
      <c r="AD25">
        <v>4</v>
      </c>
      <c r="AE25">
        <v>4</v>
      </c>
      <c r="AF25">
        <v>0</v>
      </c>
      <c r="AG25">
        <v>4</v>
      </c>
      <c r="AH25">
        <v>0</v>
      </c>
      <c r="AI25">
        <v>50</v>
      </c>
      <c r="AJ25">
        <v>2</v>
      </c>
      <c r="AK25" s="125" t="s">
        <v>73</v>
      </c>
      <c r="AL25" s="125" t="s">
        <v>73</v>
      </c>
      <c r="AM25" s="126" t="s">
        <v>73</v>
      </c>
      <c r="AN25" s="125" t="s">
        <v>157</v>
      </c>
      <c r="AO25" s="56">
        <v>45995.857175925928</v>
      </c>
      <c r="AP25" s="56">
        <v>45995.815509259257</v>
      </c>
      <c r="AQ25" s="125" t="s">
        <v>73</v>
      </c>
      <c r="AR25" s="125" t="s">
        <v>73</v>
      </c>
      <c r="AS25" s="125" t="s">
        <v>73</v>
      </c>
      <c r="AT25" s="125" t="s">
        <v>73</v>
      </c>
      <c r="AU25" s="125" t="s">
        <v>73</v>
      </c>
      <c r="AV25" s="125" t="s">
        <v>73</v>
      </c>
      <c r="AW25">
        <v>0</v>
      </c>
      <c r="AX25" s="125" t="s">
        <v>73</v>
      </c>
      <c r="AY25" s="125" t="s">
        <v>158</v>
      </c>
      <c r="AZ25" s="125" t="s">
        <v>158</v>
      </c>
      <c r="BA25" s="125" t="s">
        <v>158</v>
      </c>
    </row>
    <row r="26" spans="1:53" ht="16" x14ac:dyDescent="0.2">
      <c r="A26" s="125" t="s">
        <v>153</v>
      </c>
      <c r="B26" s="125" t="s">
        <v>159</v>
      </c>
      <c r="C26" s="125" t="s">
        <v>160</v>
      </c>
      <c r="D26" s="125" t="s">
        <v>73</v>
      </c>
      <c r="E26" s="125" t="s">
        <v>72</v>
      </c>
      <c r="F26" s="125" t="s">
        <v>72</v>
      </c>
      <c r="G26" s="125" t="s">
        <v>73</v>
      </c>
      <c r="H26" s="125"/>
      <c r="I26"/>
      <c r="J26">
        <v>3</v>
      </c>
      <c r="K26"/>
      <c r="L26">
        <v>2</v>
      </c>
      <c r="M26"/>
      <c r="N26"/>
      <c r="O26"/>
      <c r="P26"/>
      <c r="Q26">
        <v>0</v>
      </c>
      <c r="R26">
        <v>0</v>
      </c>
      <c r="S26">
        <v>0</v>
      </c>
      <c r="T26">
        <v>0</v>
      </c>
      <c r="U26" s="125" t="s">
        <v>73</v>
      </c>
      <c r="V26">
        <v>0</v>
      </c>
      <c r="W26">
        <v>0</v>
      </c>
      <c r="X26">
        <v>4</v>
      </c>
      <c r="Y26">
        <v>4</v>
      </c>
      <c r="Z26">
        <v>0</v>
      </c>
      <c r="AA26">
        <v>0</v>
      </c>
      <c r="AB26">
        <v>0</v>
      </c>
      <c r="AC26" s="125" t="s">
        <v>73</v>
      </c>
      <c r="AD26">
        <v>0</v>
      </c>
      <c r="AE26">
        <v>0</v>
      </c>
      <c r="AF26">
        <v>0</v>
      </c>
      <c r="AG26">
        <v>0</v>
      </c>
      <c r="AH26">
        <v>0</v>
      </c>
      <c r="AI26">
        <v>100</v>
      </c>
      <c r="AJ26">
        <v>20</v>
      </c>
      <c r="AK26" s="125" t="s">
        <v>73</v>
      </c>
      <c r="AL26" s="125" t="s">
        <v>73</v>
      </c>
      <c r="AM26" s="126" t="s">
        <v>73</v>
      </c>
      <c r="AN26" s="125" t="s">
        <v>161</v>
      </c>
      <c r="AO26" s="56">
        <v>45993.666203703702</v>
      </c>
      <c r="AP26" s="56">
        <v>45993.624537037038</v>
      </c>
      <c r="AQ26" s="125" t="s">
        <v>73</v>
      </c>
      <c r="AR26" s="125" t="s">
        <v>73</v>
      </c>
      <c r="AS26" s="125" t="s">
        <v>73</v>
      </c>
      <c r="AT26" s="125" t="s">
        <v>73</v>
      </c>
      <c r="AU26" s="125" t="s">
        <v>73</v>
      </c>
      <c r="AV26" s="125" t="s">
        <v>73</v>
      </c>
      <c r="AW26">
        <v>0</v>
      </c>
      <c r="AX26" s="125" t="s">
        <v>73</v>
      </c>
      <c r="AY26" s="125" t="s">
        <v>158</v>
      </c>
      <c r="AZ26" s="125" t="s">
        <v>158</v>
      </c>
      <c r="BA26" s="125" t="s">
        <v>158</v>
      </c>
    </row>
    <row r="27" spans="1:53" x14ac:dyDescent="0.2">
      <c r="A27" t="s">
        <v>79</v>
      </c>
      <c r="C27">
        <f>SUBTOTAL(103,KDA_[Naam vereniging])</f>
        <v>21</v>
      </c>
      <c r="D27" s="1">
        <f>COUNTIF(KDA_[Delegatie],"x")</f>
        <v>5</v>
      </c>
      <c r="E27" s="1">
        <f>COUNTIF(KDA_[Muziekkorps tijdens mars en defilé],"x")</f>
        <v>18</v>
      </c>
      <c r="F27" s="1">
        <f>COUNTIF(KDA_[Deelname jeugdkoningschieten],"x")</f>
        <v>15</v>
      </c>
      <c r="G27" s="7">
        <f>COUNTIF(KDA_[Maj. Senioren jureren bij mars],"x")</f>
        <v>2</v>
      </c>
      <c r="H27" s="7">
        <f>COUNTIF(KDA_[Maj. Jeugd jureren bij mars],"x")</f>
        <v>2</v>
      </c>
      <c r="I27" s="1">
        <f>SUBTOTAL(109,KDA_[Korps senioren])</f>
        <v>114</v>
      </c>
      <c r="J27" s="1">
        <f>SUBTOTAL(109,KDA_[Junioren korps 1])</f>
        <v>16</v>
      </c>
      <c r="K27" s="1">
        <f>SUBTOTAL(109,KDA_[Junioren korps 2])</f>
        <v>0</v>
      </c>
      <c r="L27" s="1">
        <f>SUBTOTAL(109,KDA_[Aspiranten korps 1])</f>
        <v>27</v>
      </c>
      <c r="M27" s="1">
        <f>SUBTOTAL(109,KDA_[Aspiranten korps 2])</f>
        <v>0</v>
      </c>
      <c r="N27" s="1">
        <f>SUBTOTAL(109,KDA_[Acrobatisch senioren])</f>
        <v>8</v>
      </c>
      <c r="O27" s="1">
        <f>SUBTOTAL(109,KDA_[Acrobatisch junioren])</f>
        <v>3</v>
      </c>
      <c r="P27" s="1">
        <f>SUBTOTAL(109,KDA_[Acrobatisch aspiranten])</f>
        <v>0</v>
      </c>
      <c r="Q27">
        <f>SUBTOTAL(109,KDA_[Opgeven vendeliers ind.])</f>
        <v>12</v>
      </c>
      <c r="R27">
        <f>SUBTOTAL(109,KDA_[Acrob. senioren indiv.])</f>
        <v>8</v>
      </c>
      <c r="S27">
        <f>SUBTOTAL(109,KDA_[Acrob. junioren indiv.])</f>
        <v>4</v>
      </c>
      <c r="T27">
        <f>SUBTOTAL(109,KDA_[Acrob. aspiranten indiv.])</f>
        <v>0</v>
      </c>
      <c r="U27" s="7">
        <f>COUNTIF(KDA_[Deelname hoofdkorps],"x")</f>
        <v>6</v>
      </c>
      <c r="V27" s="1">
        <f>SUBTOTAL(109,KDA_[Groepen, teams, ensembles en duo''s])</f>
        <v>16</v>
      </c>
      <c r="W27" s="1">
        <f>SUBTOTAL(109,KDA_[Aantal opgegeven majorettes])</f>
        <v>29</v>
      </c>
      <c r="X27">
        <f>SUBTOTAL(109,KDA_[Opgeven bielemannen])</f>
        <v>22</v>
      </c>
      <c r="Y27" s="1">
        <f>SUBTOTAL(109,KDA_[Senioren])</f>
        <v>17</v>
      </c>
      <c r="Z27" s="1">
        <f>SUBTOTAL(109,KDA_[Jong Volwassene])</f>
        <v>4</v>
      </c>
      <c r="AA27" s="1">
        <f>SUBTOTAL(109,KDA_[Junioren])</f>
        <v>0</v>
      </c>
      <c r="AB27" s="1">
        <f>SUBTOTAL(109,KDA_[Aspiranten])</f>
        <v>1</v>
      </c>
      <c r="AC27" s="7">
        <f>COUNTIF(KDA_[Deelname marketentsters],"x")</f>
        <v>5</v>
      </c>
      <c r="AD27">
        <f>SUBTOTAL(109,KDA_[Aantal luchtgeweerschutters])</f>
        <v>77</v>
      </c>
      <c r="AE27" s="1">
        <f>SUBTOTAL(109,KDA_[Aantal luchtpistoolschutters])</f>
        <v>67</v>
      </c>
      <c r="AF27">
        <f>SUBTOTAL(109,KDA_[Aantal handboogschutters])</f>
        <v>6</v>
      </c>
      <c r="AG27" s="1">
        <f>SUBTOTAL(109,KDA_[Aantal kruisboogschutters])</f>
        <v>59</v>
      </c>
      <c r="AH27">
        <f>SUBTOTAL(109,KDA_[(Aantal jeugdkorpsen])</f>
        <v>9</v>
      </c>
      <c r="AI27" s="1">
        <f>SUBTOTAL(109,KDA_[Totaal aantal deelnemers])</f>
        <v>826</v>
      </c>
      <c r="AJ27" s="1">
        <f>SUBTOTAL(109,KDA_[Waarvan aantal jeugd (t/m 15 jaar)])</f>
        <v>120</v>
      </c>
      <c r="AK27" s="55">
        <f>COUNTIF(KDA_[Kanon etc.],"x")</f>
        <v>2</v>
      </c>
      <c r="AL27" s="1">
        <f>COUNTIF(KDA_[Paarden en/of koetsen],"x")</f>
        <v>0</v>
      </c>
      <c r="AM27" s="44"/>
      <c r="AW27" s="1">
        <f>SUBTOTAL(109,KDA_[Korps bestaat uit ... deelnemers (hoofdkorps)])</f>
        <v>182</v>
      </c>
      <c r="AX27"/>
    </row>
    <row r="28" spans="1:53" x14ac:dyDescent="0.2">
      <c r="AM28" s="42"/>
    </row>
  </sheetData>
  <mergeCells count="13">
    <mergeCell ref="A1:BA1"/>
    <mergeCell ref="A2:BA2"/>
    <mergeCell ref="AD3:AH4"/>
    <mergeCell ref="AI3:AQ4"/>
    <mergeCell ref="AR3:AW4"/>
    <mergeCell ref="AX3:BA4"/>
    <mergeCell ref="I4:M4"/>
    <mergeCell ref="Q4:T4"/>
    <mergeCell ref="N4:P4"/>
    <mergeCell ref="D3:H4"/>
    <mergeCell ref="J3:T3"/>
    <mergeCell ref="X3:AB4"/>
    <mergeCell ref="AC3:AC4"/>
  </mergeCells>
  <phoneticPr fontId="2"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911A6-DC29-41D3-89D3-279D4FA48D93}">
  <dimension ref="A1:CJ11"/>
  <sheetViews>
    <sheetView workbookViewId="0">
      <selection activeCell="A6" sqref="A6:BM29"/>
    </sheetView>
  </sheetViews>
  <sheetFormatPr baseColWidth="10" defaultColWidth="9.1640625" defaultRowHeight="15" x14ac:dyDescent="0.2"/>
  <cols>
    <col min="1" max="1" width="10.33203125" bestFit="1" customWidth="1"/>
    <col min="2" max="2" width="8.6640625" bestFit="1" customWidth="1"/>
    <col min="3" max="3" width="16.5" bestFit="1" customWidth="1"/>
    <col min="4" max="9" width="8.5" bestFit="1" customWidth="1"/>
    <col min="10" max="11" width="16.33203125" bestFit="1" customWidth="1"/>
    <col min="12" max="13" width="18" bestFit="1" customWidth="1"/>
    <col min="14" max="14" width="8.5" bestFit="1" customWidth="1"/>
    <col min="15" max="17" width="7.6640625" hidden="1" customWidth="1"/>
    <col min="18" max="23" width="8.5" style="1" bestFit="1" customWidth="1"/>
    <col min="24" max="25" width="8.5" bestFit="1" customWidth="1"/>
    <col min="26" max="27" width="8.5" style="1" bestFit="1" customWidth="1"/>
    <col min="28" max="28" width="32.5" style="1" bestFit="1" customWidth="1"/>
    <col min="29" max="29" width="8.5" style="1" bestFit="1" customWidth="1"/>
    <col min="30" max="30" width="16.33203125" style="1" bestFit="1" customWidth="1"/>
    <col min="31" max="32" width="8.5" style="1" bestFit="1" customWidth="1"/>
    <col min="33" max="33" width="19.6640625" style="1" bestFit="1" customWidth="1"/>
    <col min="34" max="34" width="25.5" style="1" bestFit="1" customWidth="1"/>
    <col min="35" max="35" width="19.5" style="1" bestFit="1" customWidth="1"/>
    <col min="36" max="36" width="21" style="1" bestFit="1" customWidth="1"/>
    <col min="37" max="38" width="8.5" style="1" bestFit="1" customWidth="1"/>
    <col min="39" max="39" width="26.33203125" style="1" bestFit="1" customWidth="1"/>
    <col min="40" max="40" width="8.5" bestFit="1" customWidth="1"/>
    <col min="41" max="41" width="25.83203125" bestFit="1" customWidth="1"/>
    <col min="42" max="42" width="8.5" bestFit="1" customWidth="1"/>
    <col min="43" max="43" width="24.1640625" bestFit="1" customWidth="1"/>
    <col min="44" max="44" width="8.5" style="42" bestFit="1" customWidth="1"/>
    <col min="45" max="45" width="24" bestFit="1" customWidth="1"/>
    <col min="46" max="46" width="36.83203125" bestFit="1" customWidth="1"/>
    <col min="47" max="47" width="15.1640625" bestFit="1" customWidth="1"/>
    <col min="48" max="48" width="25.83203125" bestFit="1" customWidth="1"/>
    <col min="49" max="52" width="8.5" bestFit="1" customWidth="1"/>
    <col min="53" max="53" width="23.6640625" style="1" bestFit="1" customWidth="1"/>
    <col min="54" max="54" width="8.5" bestFit="1" customWidth="1"/>
    <col min="55" max="56" width="15" bestFit="1" customWidth="1"/>
    <col min="57" max="57" width="12.1640625" bestFit="1" customWidth="1"/>
    <col min="58" max="58" width="8.5" bestFit="1" customWidth="1"/>
    <col min="59" max="59" width="19.5" bestFit="1" customWidth="1"/>
    <col min="60" max="60" width="28.83203125" bestFit="1" customWidth="1"/>
    <col min="61" max="75" width="8.5" bestFit="1" customWidth="1"/>
    <col min="76" max="76" width="8" bestFit="1" customWidth="1"/>
    <col min="77" max="77" width="8.5" bestFit="1" customWidth="1"/>
    <col min="78" max="85" width="7.6640625" bestFit="1" customWidth="1"/>
    <col min="86" max="86" width="12.6640625" bestFit="1" customWidth="1"/>
    <col min="87" max="87" width="25" customWidth="1"/>
    <col min="88" max="88" width="15.6640625" bestFit="1" customWidth="1"/>
  </cols>
  <sheetData>
    <row r="1" spans="1:88" ht="27" customHeight="1" x14ac:dyDescent="0.2">
      <c r="A1" s="106" t="s">
        <v>84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c r="CD1" s="106"/>
      <c r="CE1" s="106"/>
      <c r="CF1" s="106"/>
      <c r="CG1" s="106"/>
      <c r="CH1" s="49"/>
      <c r="CI1" s="49"/>
      <c r="CJ1" s="49"/>
    </row>
    <row r="2" spans="1:88" ht="20" thickBot="1" x14ac:dyDescent="0.3">
      <c r="A2" s="107" t="s">
        <v>85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50"/>
      <c r="CI2" s="50"/>
      <c r="CJ2" s="50"/>
    </row>
    <row r="3" spans="1:88" ht="16" thickBot="1" x14ac:dyDescent="0.25">
      <c r="A3" s="11"/>
      <c r="B3" s="12"/>
      <c r="C3" s="13"/>
      <c r="D3" s="109" t="s">
        <v>1</v>
      </c>
      <c r="E3" s="110"/>
      <c r="F3" s="110"/>
      <c r="G3" s="110"/>
      <c r="H3" s="111"/>
      <c r="I3" s="99" t="s">
        <v>2</v>
      </c>
      <c r="J3" s="100"/>
      <c r="K3" s="100"/>
      <c r="L3" s="100"/>
      <c r="M3" s="100"/>
      <c r="N3" s="100"/>
      <c r="O3" s="100"/>
      <c r="P3" s="100"/>
      <c r="Q3" s="100"/>
      <c r="R3" s="100"/>
      <c r="S3" s="100"/>
      <c r="T3" s="100"/>
      <c r="U3" s="100"/>
      <c r="V3" s="100"/>
      <c r="W3" s="101"/>
      <c r="X3" s="109" t="s">
        <v>3</v>
      </c>
      <c r="Y3" s="111"/>
      <c r="Z3" s="17" t="s">
        <v>4</v>
      </c>
      <c r="AA3" s="93" t="s">
        <v>5</v>
      </c>
      <c r="AB3" s="94"/>
      <c r="AC3" s="94"/>
      <c r="AD3" s="94"/>
      <c r="AE3" s="94"/>
      <c r="AF3" s="95"/>
      <c r="AG3" s="17" t="s">
        <v>6</v>
      </c>
      <c r="AH3" s="109" t="s">
        <v>7</v>
      </c>
      <c r="AI3" s="110"/>
      <c r="AJ3" s="110"/>
      <c r="AK3" s="110"/>
      <c r="AL3" s="110"/>
      <c r="AM3" s="111"/>
      <c r="AN3" s="109" t="s">
        <v>8</v>
      </c>
      <c r="AO3" s="110"/>
      <c r="AP3" s="110"/>
      <c r="AQ3" s="110"/>
      <c r="AR3" s="110"/>
      <c r="AS3" s="110"/>
      <c r="AT3" s="111"/>
      <c r="AU3" s="99" t="s">
        <v>9</v>
      </c>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1"/>
      <c r="CC3" s="93" t="s">
        <v>10</v>
      </c>
      <c r="CD3" s="94"/>
      <c r="CE3" s="94"/>
      <c r="CF3" s="94"/>
      <c r="CG3" s="95"/>
      <c r="CH3" s="51"/>
      <c r="CI3" s="51"/>
      <c r="CJ3" s="51"/>
    </row>
    <row r="4" spans="1:88" ht="16" thickBot="1" x14ac:dyDescent="0.25">
      <c r="A4" s="14"/>
      <c r="B4" s="15"/>
      <c r="C4" s="16"/>
      <c r="D4" s="14"/>
      <c r="E4" s="15"/>
      <c r="F4" s="15"/>
      <c r="G4" s="15"/>
      <c r="H4" s="16"/>
      <c r="I4" s="99" t="s">
        <v>11</v>
      </c>
      <c r="J4" s="100"/>
      <c r="K4" s="101"/>
      <c r="L4" s="99" t="s">
        <v>12</v>
      </c>
      <c r="M4" s="100"/>
      <c r="N4" s="101"/>
      <c r="O4" s="99" t="s">
        <v>13</v>
      </c>
      <c r="P4" s="100"/>
      <c r="Q4" s="101"/>
      <c r="R4" s="99" t="s">
        <v>14</v>
      </c>
      <c r="S4" s="100"/>
      <c r="T4" s="100"/>
      <c r="U4" s="100"/>
      <c r="V4" s="100"/>
      <c r="W4" s="101"/>
      <c r="X4" s="14"/>
      <c r="Y4" s="16"/>
      <c r="Z4" s="18"/>
      <c r="AA4" s="14"/>
      <c r="AB4" s="15"/>
      <c r="AC4" s="15"/>
      <c r="AD4" s="15"/>
      <c r="AE4" s="15"/>
      <c r="AF4" s="16"/>
      <c r="AG4" s="18"/>
      <c r="AH4" s="14"/>
      <c r="AI4" s="15"/>
      <c r="AJ4" s="15"/>
      <c r="AK4" s="15"/>
      <c r="AL4" s="15"/>
      <c r="AM4" s="16"/>
      <c r="AN4" s="14"/>
      <c r="AO4" s="15"/>
      <c r="AP4" s="15"/>
      <c r="AQ4" s="15"/>
      <c r="AR4" s="43"/>
      <c r="AS4" s="15"/>
      <c r="AT4" s="16"/>
      <c r="AU4" s="99" t="s">
        <v>15</v>
      </c>
      <c r="AV4" s="100"/>
      <c r="AW4" s="100"/>
      <c r="AX4" s="100"/>
      <c r="AY4" s="100"/>
      <c r="AZ4" s="100"/>
      <c r="BA4" s="101"/>
      <c r="BB4" s="99" t="s">
        <v>16</v>
      </c>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1"/>
      <c r="CC4" s="8"/>
      <c r="CD4" s="9"/>
      <c r="CE4" s="9"/>
      <c r="CF4" s="9"/>
      <c r="CG4" s="10"/>
      <c r="CH4" s="51"/>
      <c r="CI4" s="51"/>
      <c r="CJ4" s="51"/>
    </row>
    <row r="5" spans="1:88" ht="16" thickBot="1" x14ac:dyDescent="0.25"/>
    <row r="6" spans="1:88" ht="212" x14ac:dyDescent="0.2">
      <c r="A6" s="5" t="s">
        <v>17</v>
      </c>
      <c r="B6" s="32" t="s">
        <v>18</v>
      </c>
      <c r="C6" s="33" t="s">
        <v>19</v>
      </c>
      <c r="D6" s="3" t="s">
        <v>20</v>
      </c>
      <c r="E6" s="3" t="s">
        <v>21</v>
      </c>
      <c r="F6" s="3" t="s">
        <v>22</v>
      </c>
      <c r="G6" s="3" t="s">
        <v>23</v>
      </c>
      <c r="H6" s="3" t="s">
        <v>24</v>
      </c>
      <c r="I6" s="36" t="s">
        <v>25</v>
      </c>
      <c r="J6" t="s">
        <v>121</v>
      </c>
      <c r="K6" t="s">
        <v>122</v>
      </c>
      <c r="L6" t="s">
        <v>123</v>
      </c>
      <c r="M6" t="s">
        <v>124</v>
      </c>
      <c r="N6" s="36" t="s">
        <v>26</v>
      </c>
      <c r="O6" s="34" t="s">
        <v>27</v>
      </c>
      <c r="P6" s="35" t="s">
        <v>28</v>
      </c>
      <c r="Q6" s="36" t="s">
        <v>29</v>
      </c>
      <c r="R6" s="34" t="s">
        <v>30</v>
      </c>
      <c r="S6" s="35" t="s">
        <v>31</v>
      </c>
      <c r="T6" s="36" t="s">
        <v>32</v>
      </c>
      <c r="U6" s="34" t="s">
        <v>33</v>
      </c>
      <c r="V6" s="34" t="s">
        <v>34</v>
      </c>
      <c r="W6" s="37" t="s">
        <v>35</v>
      </c>
      <c r="X6" s="37" t="s">
        <v>36</v>
      </c>
      <c r="Y6" s="38" t="s">
        <v>37</v>
      </c>
      <c r="Z6" s="36" t="s">
        <v>15</v>
      </c>
      <c r="AA6" s="35" t="s">
        <v>16</v>
      </c>
      <c r="AB6" t="s">
        <v>105</v>
      </c>
      <c r="AC6" s="36" t="s">
        <v>38</v>
      </c>
      <c r="AD6" t="s">
        <v>106</v>
      </c>
      <c r="AE6" s="34" t="s">
        <v>39</v>
      </c>
      <c r="AF6" s="34" t="s">
        <v>40</v>
      </c>
      <c r="AG6" t="s">
        <v>107</v>
      </c>
      <c r="AH6" t="s">
        <v>108</v>
      </c>
      <c r="AI6" t="s">
        <v>109</v>
      </c>
      <c r="AJ6" t="s">
        <v>110</v>
      </c>
      <c r="AK6" s="39" t="s">
        <v>41</v>
      </c>
      <c r="AL6" s="36" t="s">
        <v>42</v>
      </c>
      <c r="AM6" t="s">
        <v>117</v>
      </c>
      <c r="AN6" s="34" t="s">
        <v>43</v>
      </c>
      <c r="AO6" t="s">
        <v>118</v>
      </c>
      <c r="AP6" s="34" t="s">
        <v>45</v>
      </c>
      <c r="AQ6" t="s">
        <v>119</v>
      </c>
      <c r="AR6" s="34" t="s">
        <v>44</v>
      </c>
      <c r="AS6" t="s">
        <v>120</v>
      </c>
      <c r="AT6" t="s">
        <v>111</v>
      </c>
      <c r="AU6" t="s">
        <v>112</v>
      </c>
      <c r="AV6" t="s">
        <v>113</v>
      </c>
      <c r="AW6" s="36" t="s">
        <v>46</v>
      </c>
      <c r="AX6" s="34" t="s">
        <v>47</v>
      </c>
      <c r="AY6" s="34" t="s">
        <v>48</v>
      </c>
      <c r="AZ6" s="34" t="s">
        <v>49</v>
      </c>
      <c r="BA6" s="45" t="s">
        <v>50</v>
      </c>
      <c r="BB6" s="34" t="s">
        <v>51</v>
      </c>
      <c r="BC6" s="35" t="s">
        <v>52</v>
      </c>
      <c r="BD6" t="s">
        <v>103</v>
      </c>
      <c r="BE6" s="36" t="s">
        <v>53</v>
      </c>
      <c r="BF6" s="34" t="s">
        <v>54</v>
      </c>
      <c r="BG6" s="34" t="s">
        <v>55</v>
      </c>
      <c r="BH6" s="34" t="s">
        <v>56</v>
      </c>
      <c r="BI6" s="34" t="s">
        <v>57</v>
      </c>
      <c r="BJ6" s="34" t="s">
        <v>58</v>
      </c>
      <c r="BK6" s="35" t="s">
        <v>59</v>
      </c>
      <c r="BL6" s="36" t="s">
        <v>60</v>
      </c>
      <c r="BM6" s="34" t="s">
        <v>61</v>
      </c>
      <c r="BN6" s="34" t="s">
        <v>62</v>
      </c>
      <c r="BO6" s="34" t="s">
        <v>63</v>
      </c>
      <c r="BP6" s="34" t="s">
        <v>64</v>
      </c>
      <c r="BQ6" s="34" t="s">
        <v>65</v>
      </c>
      <c r="BR6" s="35" t="s">
        <v>66</v>
      </c>
      <c r="BS6" s="34" t="s">
        <v>70</v>
      </c>
      <c r="BT6" s="36" t="s">
        <v>67</v>
      </c>
      <c r="BU6" s="34" t="s">
        <v>68</v>
      </c>
      <c r="BV6" s="34" t="s">
        <v>69</v>
      </c>
      <c r="BW6" s="35" t="s">
        <v>71</v>
      </c>
    </row>
    <row r="7" spans="1:88" ht="16" x14ac:dyDescent="0.2">
      <c r="A7" s="6" t="s">
        <v>114</v>
      </c>
      <c r="B7" s="6" t="s">
        <v>125</v>
      </c>
      <c r="C7" s="6" t="s">
        <v>104</v>
      </c>
      <c r="D7" s="6" t="s">
        <v>73</v>
      </c>
      <c r="E7" s="6" t="s">
        <v>72</v>
      </c>
      <c r="F7" s="6" t="s">
        <v>72</v>
      </c>
      <c r="G7" s="6" t="s">
        <v>72</v>
      </c>
      <c r="H7" s="6" t="s">
        <v>74</v>
      </c>
      <c r="I7" s="6">
        <v>6</v>
      </c>
      <c r="J7">
        <v>4</v>
      </c>
      <c r="K7">
        <v>3</v>
      </c>
      <c r="L7">
        <v>4</v>
      </c>
      <c r="N7" s="6"/>
      <c r="O7" s="6"/>
      <c r="P7" s="6"/>
      <c r="Q7" s="6" t="s">
        <v>73</v>
      </c>
      <c r="R7" s="6" t="s">
        <v>73</v>
      </c>
      <c r="S7" s="6" t="s">
        <v>73</v>
      </c>
      <c r="T7" s="7">
        <v>6</v>
      </c>
      <c r="U7" s="7">
        <v>5</v>
      </c>
      <c r="V7" s="7">
        <v>4</v>
      </c>
      <c r="W7" s="7">
        <v>6</v>
      </c>
      <c r="X7" s="7">
        <v>5</v>
      </c>
      <c r="Y7" s="7">
        <v>4</v>
      </c>
      <c r="Z7" s="6" t="s">
        <v>72</v>
      </c>
      <c r="AA7" s="6" t="s">
        <v>73</v>
      </c>
      <c r="AB7">
        <v>1</v>
      </c>
      <c r="AC7" s="7">
        <v>10</v>
      </c>
      <c r="AD7">
        <v>5</v>
      </c>
      <c r="AE7" s="7">
        <v>4</v>
      </c>
      <c r="AF7" s="7">
        <v>3</v>
      </c>
      <c r="AG7">
        <v>10</v>
      </c>
      <c r="AH7">
        <v>5</v>
      </c>
      <c r="AI7">
        <v>4</v>
      </c>
      <c r="AJ7">
        <v>3</v>
      </c>
      <c r="AK7" s="7" t="s">
        <v>72</v>
      </c>
      <c r="AL7" s="7" t="s">
        <v>72</v>
      </c>
      <c r="AM7">
        <v>6</v>
      </c>
      <c r="AN7" s="7" t="s">
        <v>72</v>
      </c>
      <c r="AO7">
        <v>6</v>
      </c>
      <c r="AP7" s="7" t="s">
        <v>72</v>
      </c>
      <c r="AQ7">
        <v>5</v>
      </c>
      <c r="AR7" s="7" t="s">
        <v>72</v>
      </c>
      <c r="AS7">
        <v>6</v>
      </c>
      <c r="AT7" t="s">
        <v>72</v>
      </c>
      <c r="AU7">
        <v>2</v>
      </c>
      <c r="AV7">
        <v>2</v>
      </c>
      <c r="AW7" s="6">
        <v>100</v>
      </c>
      <c r="AX7" s="6">
        <v>25</v>
      </c>
      <c r="AY7" s="6" t="s">
        <v>73</v>
      </c>
      <c r="AZ7" s="6" t="s">
        <v>73</v>
      </c>
      <c r="BA7" s="41" t="s">
        <v>73</v>
      </c>
      <c r="BB7" s="6">
        <v>1804</v>
      </c>
      <c r="BC7" s="40">
        <v>45523.539861111109</v>
      </c>
      <c r="BD7" s="56">
        <v>45527.790335648147</v>
      </c>
      <c r="BE7" s="6" t="s">
        <v>104</v>
      </c>
      <c r="BF7" s="6" t="s">
        <v>78</v>
      </c>
      <c r="BG7" s="6" t="s">
        <v>76</v>
      </c>
      <c r="BH7" s="6" t="s">
        <v>77</v>
      </c>
      <c r="BI7" s="6" t="s">
        <v>115</v>
      </c>
      <c r="BJ7" s="6" t="s">
        <v>116</v>
      </c>
      <c r="BK7" s="7">
        <v>15</v>
      </c>
      <c r="BL7" s="6" t="s">
        <v>73</v>
      </c>
      <c r="BM7" s="6" t="s">
        <v>73</v>
      </c>
      <c r="BN7" s="6" t="s">
        <v>73</v>
      </c>
      <c r="BO7" s="6" t="s">
        <v>73</v>
      </c>
      <c r="BP7" s="6" t="s">
        <v>73</v>
      </c>
      <c r="BQ7" s="6" t="s">
        <v>73</v>
      </c>
      <c r="BR7" s="6"/>
      <c r="BS7" s="6" t="s">
        <v>75</v>
      </c>
      <c r="BT7" s="6" t="s">
        <v>128</v>
      </c>
      <c r="BU7" s="6" t="s">
        <v>129</v>
      </c>
      <c r="BV7" s="6" t="s">
        <v>130</v>
      </c>
      <c r="BW7" s="6">
        <v>9</v>
      </c>
    </row>
    <row r="8" spans="1:88" x14ac:dyDescent="0.2">
      <c r="A8" s="19" t="s">
        <v>79</v>
      </c>
      <c r="B8" s="19"/>
      <c r="C8" s="19">
        <f>SUBTOTAL(103,LJ[Naam vereniging])</f>
        <v>1</v>
      </c>
      <c r="D8" s="20">
        <f>COUNTIF(LJ[Delegatie],"x")</f>
        <v>0</v>
      </c>
      <c r="E8" s="20">
        <f>COUNTIF(LJ[Muziekkorps bij mars en defilé],"x")</f>
        <v>1</v>
      </c>
      <c r="F8" s="20">
        <f>COUNTIF(LJ[Deeln. jeugdkoningschieten],"x")</f>
        <v>1</v>
      </c>
      <c r="G8" s="20">
        <f>COUNTIF(LJ[Maj. Senioren jureren bij mars],"x")</f>
        <v>1</v>
      </c>
      <c r="H8" s="20">
        <f>COUNTIF(LJ[Maj. Jeugd jureren bij mars]," x")</f>
        <v>1</v>
      </c>
      <c r="I8" s="20">
        <f>COUNTIF(LJ[Korps senioren],"x")</f>
        <v>0</v>
      </c>
      <c r="J8" s="20" t="e">
        <f>COUNTIF(#REF!,"x")</f>
        <v>#REF!</v>
      </c>
      <c r="K8" s="20" t="e">
        <f>COUNTIF(#REF!,"x")</f>
        <v>#REF!</v>
      </c>
      <c r="L8" s="20">
        <f>COUNTIF(LJ[Acrobatisch senioren],"x")</f>
        <v>0</v>
      </c>
      <c r="M8" s="20">
        <f>COUNTIF(LJ[Acrobatisch junioren],"x")</f>
        <v>0</v>
      </c>
      <c r="N8" s="20">
        <f>COUNTIF(LJ[Acrobatisch aspiranten],"x")</f>
        <v>0</v>
      </c>
      <c r="O8" s="20">
        <f>COUNTIF(LJ[Show senioren],"x")</f>
        <v>0</v>
      </c>
      <c r="P8" s="20">
        <f>COUNTIF(LJ[Show junioren],"x")</f>
        <v>0</v>
      </c>
      <c r="Q8" s="20">
        <f>COUNTIF(LJ[Show aspiranten],"x")</f>
        <v>0</v>
      </c>
      <c r="R8" s="20">
        <f>SUBTOTAL(109,LJ[Senioren indiv.])</f>
        <v>6</v>
      </c>
      <c r="S8" s="20">
        <f>SUBTOTAL(109,LJ[Junioren indiv.])</f>
        <v>5</v>
      </c>
      <c r="T8" s="20">
        <f>SUBTOTAL(109,LJ[Aspiranten indiv.])</f>
        <v>4</v>
      </c>
      <c r="U8" s="20">
        <f>SUBTOTAL(109,LJ[Sen. ind opgegeven namen])</f>
        <v>6</v>
      </c>
      <c r="V8" s="20">
        <f>SUBTOTAL(109,LJ[Jun. ind opgegeven namen])</f>
        <v>5</v>
      </c>
      <c r="W8" s="20">
        <f>SUBTOTAL(109,LJ[Asp. ind opgegeven namen])</f>
        <v>4</v>
      </c>
      <c r="X8" s="20">
        <f>COUNTIF(LJ[Hoofdkorps],"x")</f>
        <v>1</v>
      </c>
      <c r="Y8" s="20">
        <f>COUNTIF(LJ[2e korps],"x")</f>
        <v>0</v>
      </c>
      <c r="Z8" s="20" t="e">
        <f>SUBTOTAL(109,#REF!)</f>
        <v>#REF!</v>
      </c>
      <c r="AA8" s="20">
        <f>SUBTOTAL(109,LJ[Senioren])</f>
        <v>10</v>
      </c>
      <c r="AB8" s="20">
        <f>SUBTOTAL(109,LJ[Junioren])</f>
        <v>4</v>
      </c>
      <c r="AC8" s="20">
        <f>SUBTOTAL(109,LJ[Aspiranten])</f>
        <v>3</v>
      </c>
      <c r="AD8" s="20" t="e">
        <f>SUBTOTAL(109,#REF!)</f>
        <v>#REF!</v>
      </c>
      <c r="AE8" s="20" t="e">
        <f>SUBTOTAL(109,#REF!)</f>
        <v>#REF!</v>
      </c>
      <c r="AF8" s="20" t="e">
        <f>SUBTOTAL(109,#REF!)</f>
        <v>#REF!</v>
      </c>
      <c r="AG8" s="20">
        <f>COUNTIF(LJ[Marketentsters],"x")</f>
        <v>1</v>
      </c>
      <c r="AH8" s="20">
        <f>COUNTIF(LJ[Luchtgeweer],"x")</f>
        <v>1</v>
      </c>
      <c r="AI8" s="20">
        <f>COUNTIF(LJ[Luchtpistool],"x")</f>
        <v>1</v>
      </c>
      <c r="AJ8" s="20">
        <f>COUNTIF(LJ[Kruisboog],"x")</f>
        <v>1</v>
      </c>
      <c r="AK8" s="20">
        <f>COUNTIF(LJ[Handboog],"x")</f>
        <v>1</v>
      </c>
      <c r="AL8" s="21" t="e">
        <f>COUNTIF(#REF!,"x")</f>
        <v>#REF!</v>
      </c>
      <c r="AM8" s="21" t="e">
        <f>SUBTOTAL(109,#REF!)</f>
        <v>#REF!</v>
      </c>
      <c r="AN8" s="20">
        <f>SUBTOTAL(109,LJ[Totaal aantal deelnemers])</f>
        <v>100</v>
      </c>
      <c r="AO8" s="22">
        <f>SUBTOTAL(109,LJ[Waarvan aantal jeugd (t/m 15 jaar)])</f>
        <v>25</v>
      </c>
      <c r="AP8" s="20"/>
      <c r="AQ8" s="20"/>
      <c r="AR8" s="46"/>
      <c r="AS8" s="20"/>
      <c r="AT8" s="20"/>
      <c r="AU8" s="19"/>
      <c r="AV8" s="19"/>
      <c r="AW8" s="19"/>
      <c r="AX8" s="19"/>
      <c r="AY8" s="19"/>
      <c r="AZ8" s="19"/>
      <c r="BA8" s="20"/>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20"/>
      <c r="CG8" s="20">
        <f>SUBTOTAL(109,LJ[Aantal opgegeven majorettes])</f>
        <v>9</v>
      </c>
      <c r="CH8" s="52"/>
      <c r="CI8" s="52"/>
      <c r="CJ8" s="52"/>
    </row>
    <row r="10" spans="1:88" x14ac:dyDescent="0.2">
      <c r="C10" s="23"/>
      <c r="D10" s="1"/>
    </row>
    <row r="11" spans="1:88" x14ac:dyDescent="0.2">
      <c r="C11" s="23"/>
      <c r="D11" s="47"/>
    </row>
  </sheetData>
  <mergeCells count="16">
    <mergeCell ref="I4:K4"/>
    <mergeCell ref="A1:CG1"/>
    <mergeCell ref="A2:CG2"/>
    <mergeCell ref="AN3:AT3"/>
    <mergeCell ref="D3:H3"/>
    <mergeCell ref="I3:W3"/>
    <mergeCell ref="X3:Y3"/>
    <mergeCell ref="AA3:AF3"/>
    <mergeCell ref="AH3:AM3"/>
    <mergeCell ref="L4:N4"/>
    <mergeCell ref="O4:Q4"/>
    <mergeCell ref="R4:W4"/>
    <mergeCell ref="AU3:CB3"/>
    <mergeCell ref="CC3:CG3"/>
    <mergeCell ref="AU4:BA4"/>
    <mergeCell ref="BB4:CB4"/>
  </mergeCells>
  <phoneticPr fontId="2" type="noConversion"/>
  <conditionalFormatting sqref="W6:W7">
    <cfRule type="expression" dxfId="364" priority="4">
      <formula>$T6-$W6&lt;&gt;0</formula>
    </cfRule>
  </conditionalFormatting>
  <conditionalFormatting sqref="X6:X7">
    <cfRule type="expression" dxfId="363" priority="5">
      <formula>$U6-$X6&lt;&gt;0</formula>
    </cfRule>
  </conditionalFormatting>
  <conditionalFormatting sqref="Y6:Y7">
    <cfRule type="expression" dxfId="362" priority="6">
      <formula>$V6-$Y6&lt;&gt;0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42596-4F98-4B71-A6F6-3C3FF5BF23D8}">
  <dimension ref="A1:FH48"/>
  <sheetViews>
    <sheetView zoomScale="110" zoomScaleNormal="110" workbookViewId="0">
      <pane xSplit="3" ySplit="6" topLeftCell="AM38" activePane="bottomRight" state="frozen"/>
      <selection pane="topRight" activeCell="D1" sqref="D1"/>
      <selection pane="bottomLeft" activeCell="A7" sqref="A7"/>
      <selection pane="bottomRight" activeCell="C12" sqref="C12"/>
    </sheetView>
  </sheetViews>
  <sheetFormatPr baseColWidth="10" defaultColWidth="9.1640625" defaultRowHeight="15" x14ac:dyDescent="0.2"/>
  <cols>
    <col min="1" max="1" width="11" bestFit="1" customWidth="1"/>
    <col min="2" max="2" width="9.1640625" bestFit="1" customWidth="1"/>
    <col min="3" max="3" width="58.83203125" bestFit="1" customWidth="1"/>
    <col min="4" max="6" width="3.6640625" bestFit="1" customWidth="1"/>
    <col min="7" max="7" width="5.5" bestFit="1" customWidth="1"/>
    <col min="8" max="8" width="3.6640625" bestFit="1" customWidth="1"/>
    <col min="9" max="9" width="4.1640625" bestFit="1" customWidth="1"/>
    <col min="10" max="22" width="3.6640625" bestFit="1" customWidth="1"/>
    <col min="23" max="23" width="4.1640625" bestFit="1" customWidth="1"/>
    <col min="24" max="29" width="3.6640625" bestFit="1" customWidth="1"/>
    <col min="30" max="31" width="4.1640625" bestFit="1" customWidth="1"/>
    <col min="32" max="32" width="3.6640625" bestFit="1" customWidth="1"/>
    <col min="33" max="33" width="4.1640625" bestFit="1" customWidth="1"/>
    <col min="34" max="34" width="3.6640625" bestFit="1" customWidth="1"/>
    <col min="35" max="35" width="5.1640625" bestFit="1" customWidth="1"/>
    <col min="36" max="36" width="4.1640625" bestFit="1" customWidth="1"/>
    <col min="37" max="38" width="3.6640625" bestFit="1" customWidth="1"/>
    <col min="39" max="39" width="60.5" style="1" bestFit="1" customWidth="1"/>
    <col min="40" max="40" width="5.1640625" bestFit="1" customWidth="1"/>
    <col min="41" max="42" width="15" style="1" bestFit="1" customWidth="1"/>
    <col min="43" max="43" width="40.6640625" style="1" bestFit="1" customWidth="1"/>
    <col min="44" max="44" width="24.33203125" style="1" bestFit="1" customWidth="1"/>
    <col min="45" max="46" width="31" style="1" bestFit="1" customWidth="1"/>
    <col min="47" max="47" width="13.1640625" style="1" bestFit="1" customWidth="1"/>
    <col min="48" max="48" width="14.83203125" style="1" bestFit="1" customWidth="1"/>
    <col min="49" max="49" width="4.1640625" style="1" bestFit="1" customWidth="1"/>
    <col min="50" max="50" width="3.6640625" style="1" bestFit="1" customWidth="1"/>
    <col min="51" max="51" width="50.83203125" style="1" bestFit="1" customWidth="1"/>
    <col min="52" max="52" width="49.33203125" style="1" bestFit="1" customWidth="1"/>
    <col min="53" max="53" width="43" style="1" bestFit="1" customWidth="1"/>
    <col min="54" max="54" width="8.5" bestFit="1" customWidth="1"/>
    <col min="55" max="55" width="8.5" style="1" bestFit="1" customWidth="1"/>
    <col min="56" max="56" width="8.5" bestFit="1" customWidth="1"/>
    <col min="57" max="57" width="8.5" style="1" bestFit="1" customWidth="1"/>
    <col min="58" max="59" width="8.5" bestFit="1" customWidth="1"/>
    <col min="60" max="60" width="3.5" bestFit="1" customWidth="1"/>
    <col min="61" max="61" width="8.5" style="42" bestFit="1" customWidth="1"/>
    <col min="62" max="64" width="8.5" bestFit="1" customWidth="1"/>
    <col min="65" max="65" width="54" style="47" bestFit="1" customWidth="1"/>
    <col min="66" max="66" width="8.5" bestFit="1" customWidth="1"/>
    <col min="67" max="68" width="15" bestFit="1" customWidth="1"/>
    <col min="69" max="69" width="40.6640625" bestFit="1" customWidth="1"/>
    <col min="70" max="70" width="24.33203125" bestFit="1" customWidth="1"/>
    <col min="71" max="72" width="31" bestFit="1" customWidth="1"/>
    <col min="73" max="73" width="13.1640625" bestFit="1" customWidth="1"/>
    <col min="74" max="74" width="17.83203125" bestFit="1" customWidth="1"/>
    <col min="75" max="75" width="8.5" bestFit="1" customWidth="1"/>
    <col min="76" max="82" width="7.6640625" hidden="1" customWidth="1"/>
    <col min="83" max="83" width="8.5" bestFit="1" customWidth="1"/>
    <col min="84" max="84" width="49.6640625" bestFit="1" customWidth="1"/>
    <col min="85" max="85" width="54" bestFit="1" customWidth="1"/>
    <col min="86" max="86" width="50.6640625" bestFit="1" customWidth="1"/>
    <col min="87" max="87" width="8.5" bestFit="1" customWidth="1"/>
    <col min="88" max="88" width="39.33203125" bestFit="1" customWidth="1"/>
    <col min="89" max="89" width="42" bestFit="1" customWidth="1"/>
    <col min="90" max="90" width="35.6640625" bestFit="1" customWidth="1"/>
    <col min="91" max="92" width="7.6640625" bestFit="1" customWidth="1"/>
    <col min="93" max="93" width="10.1640625" bestFit="1" customWidth="1"/>
    <col min="98" max="130" width="9.1640625" style="1"/>
    <col min="131" max="132" width="9.1640625" style="4"/>
    <col min="133" max="136" width="9.1640625" style="1"/>
    <col min="137" max="137" width="9.1640625" style="42"/>
    <col min="138" max="139" width="9.1640625" style="1"/>
    <col min="157" max="164" width="9.1640625" style="1"/>
  </cols>
  <sheetData>
    <row r="1" spans="1:164" ht="19" x14ac:dyDescent="0.2">
      <c r="A1" s="106" t="s">
        <v>86</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row>
    <row r="2" spans="1:164" ht="20" thickBot="1" x14ac:dyDescent="0.3">
      <c r="A2" s="107" t="s">
        <v>171</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row>
    <row r="3" spans="1:164" ht="33" customHeight="1" thickBot="1" x14ac:dyDescent="0.25">
      <c r="A3" s="67"/>
      <c r="B3" s="68"/>
      <c r="C3" s="69"/>
      <c r="D3" s="93" t="s">
        <v>1</v>
      </c>
      <c r="E3" s="94"/>
      <c r="F3" s="94"/>
      <c r="G3" s="94"/>
      <c r="H3" s="95"/>
      <c r="I3" s="72"/>
      <c r="J3" s="100" t="s">
        <v>2</v>
      </c>
      <c r="K3" s="100"/>
      <c r="L3" s="100"/>
      <c r="M3" s="100"/>
      <c r="N3" s="100"/>
      <c r="O3" s="100"/>
      <c r="P3" s="100"/>
      <c r="Q3" s="100"/>
      <c r="R3" s="100"/>
      <c r="S3" s="100"/>
      <c r="T3" s="101"/>
      <c r="U3" s="17" t="s">
        <v>3</v>
      </c>
      <c r="V3" s="11" t="s">
        <v>150</v>
      </c>
      <c r="W3" s="13"/>
      <c r="X3" s="93" t="s">
        <v>5</v>
      </c>
      <c r="Y3" s="94"/>
      <c r="Z3" s="94"/>
      <c r="AA3" s="94"/>
      <c r="AB3" s="95"/>
      <c r="AC3" s="104" t="s">
        <v>151</v>
      </c>
      <c r="AD3" s="93" t="s">
        <v>7</v>
      </c>
      <c r="AE3" s="94"/>
      <c r="AF3" s="94"/>
      <c r="AG3" s="94"/>
      <c r="AH3" s="95"/>
      <c r="AI3" s="93" t="s">
        <v>8</v>
      </c>
      <c r="AJ3" s="94"/>
      <c r="AK3" s="94"/>
      <c r="AL3" s="94"/>
      <c r="AM3" s="94"/>
      <c r="AN3" s="94"/>
      <c r="AO3" s="94"/>
      <c r="AP3" s="94"/>
      <c r="AQ3" s="95"/>
      <c r="AR3" s="87" t="s">
        <v>9</v>
      </c>
      <c r="AS3" s="88"/>
      <c r="AT3" s="88"/>
      <c r="AU3" s="88"/>
      <c r="AV3" s="88"/>
      <c r="AW3" s="89"/>
      <c r="AX3" s="93" t="s">
        <v>152</v>
      </c>
      <c r="AY3" s="94"/>
      <c r="AZ3" s="94"/>
      <c r="BA3" s="95"/>
      <c r="BC3"/>
      <c r="BE3"/>
      <c r="BI3"/>
      <c r="BM3"/>
      <c r="BW3" s="1"/>
      <c r="BX3" s="24"/>
      <c r="BY3" s="24"/>
      <c r="BZ3" s="24"/>
      <c r="CA3" s="24"/>
      <c r="CB3" s="24"/>
      <c r="CC3" s="24"/>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FA3"/>
      <c r="FB3"/>
      <c r="FC3"/>
      <c r="FD3"/>
      <c r="FE3"/>
      <c r="FF3"/>
      <c r="FG3"/>
      <c r="FH3"/>
    </row>
    <row r="4" spans="1:164" ht="16" thickBot="1" x14ac:dyDescent="0.25">
      <c r="A4" s="70"/>
      <c r="B4" s="71"/>
      <c r="C4" s="61"/>
      <c r="D4" s="96"/>
      <c r="E4" s="97"/>
      <c r="F4" s="97"/>
      <c r="G4" s="97"/>
      <c r="H4" s="98"/>
      <c r="I4" s="99" t="s">
        <v>11</v>
      </c>
      <c r="J4" s="102"/>
      <c r="K4" s="102"/>
      <c r="L4" s="102"/>
      <c r="M4" s="103"/>
      <c r="N4" s="99" t="s">
        <v>87</v>
      </c>
      <c r="O4" s="100"/>
      <c r="P4" s="101"/>
      <c r="Q4" s="99" t="s">
        <v>14</v>
      </c>
      <c r="R4" s="100"/>
      <c r="S4" s="100"/>
      <c r="T4" s="100"/>
      <c r="U4" s="18"/>
      <c r="V4" s="14"/>
      <c r="W4" s="16"/>
      <c r="X4" s="96"/>
      <c r="Y4" s="97"/>
      <c r="Z4" s="97"/>
      <c r="AA4" s="97"/>
      <c r="AB4" s="98"/>
      <c r="AC4" s="105"/>
      <c r="AD4" s="96"/>
      <c r="AE4" s="97"/>
      <c r="AF4" s="97"/>
      <c r="AG4" s="97"/>
      <c r="AH4" s="98"/>
      <c r="AI4" s="96"/>
      <c r="AJ4" s="97"/>
      <c r="AK4" s="97"/>
      <c r="AL4" s="97"/>
      <c r="AM4" s="97"/>
      <c r="AN4" s="97"/>
      <c r="AO4" s="97"/>
      <c r="AP4" s="97"/>
      <c r="AQ4" s="98"/>
      <c r="AR4" s="90"/>
      <c r="AS4" s="91"/>
      <c r="AT4" s="91"/>
      <c r="AU4" s="91"/>
      <c r="AV4" s="91"/>
      <c r="AW4" s="92"/>
      <c r="AX4" s="96"/>
      <c r="AY4" s="97"/>
      <c r="AZ4" s="97"/>
      <c r="BA4" s="98"/>
      <c r="BC4"/>
      <c r="BE4"/>
      <c r="BI4"/>
      <c r="BM4"/>
      <c r="BW4" s="1"/>
      <c r="BX4" s="24"/>
      <c r="BY4" s="24"/>
      <c r="BZ4" s="24"/>
      <c r="CA4" s="24"/>
      <c r="CB4" s="24"/>
      <c r="CC4" s="2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FA4"/>
      <c r="FB4"/>
      <c r="FC4"/>
      <c r="FD4"/>
      <c r="FE4"/>
      <c r="FF4"/>
      <c r="FG4"/>
      <c r="FH4"/>
    </row>
    <row r="5" spans="1:164" ht="6.75" hidden="1" customHeight="1" x14ac:dyDescent="0.2">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N5" s="1"/>
      <c r="BB5" s="1"/>
      <c r="BD5" s="44"/>
      <c r="BF5" s="1"/>
      <c r="BG5" s="1"/>
      <c r="BH5" s="1"/>
      <c r="BI5" s="44"/>
      <c r="BJ5" s="1"/>
      <c r="BK5" s="1"/>
      <c r="BL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FA5"/>
      <c r="FB5"/>
      <c r="FC5"/>
      <c r="FD5"/>
      <c r="FE5"/>
      <c r="FF5"/>
      <c r="FG5"/>
      <c r="FH5"/>
    </row>
    <row r="6" spans="1:164" s="74" customFormat="1" ht="278" thickBot="1" x14ac:dyDescent="0.25">
      <c r="A6" s="73" t="s">
        <v>17</v>
      </c>
      <c r="B6" s="73" t="s">
        <v>149</v>
      </c>
      <c r="C6" s="73" t="s">
        <v>19</v>
      </c>
      <c r="D6" s="77" t="s">
        <v>20</v>
      </c>
      <c r="E6" s="78" t="s">
        <v>141</v>
      </c>
      <c r="F6" s="78" t="s">
        <v>142</v>
      </c>
      <c r="G6" s="78" t="s">
        <v>23</v>
      </c>
      <c r="H6" s="79" t="s">
        <v>24</v>
      </c>
      <c r="I6" s="77" t="s">
        <v>25</v>
      </c>
      <c r="J6" s="78" t="s">
        <v>121</v>
      </c>
      <c r="K6" s="78" t="s">
        <v>122</v>
      </c>
      <c r="L6" s="78" t="s">
        <v>123</v>
      </c>
      <c r="M6" s="78" t="s">
        <v>124</v>
      </c>
      <c r="N6" s="78" t="s">
        <v>26</v>
      </c>
      <c r="O6" s="78" t="s">
        <v>27</v>
      </c>
      <c r="P6" s="78" t="s">
        <v>28</v>
      </c>
      <c r="Q6" s="78" t="s">
        <v>146</v>
      </c>
      <c r="R6" s="78" t="s">
        <v>133</v>
      </c>
      <c r="S6" s="78" t="s">
        <v>134</v>
      </c>
      <c r="T6" s="79" t="s">
        <v>135</v>
      </c>
      <c r="U6" s="80" t="s">
        <v>144</v>
      </c>
      <c r="V6" s="77" t="s">
        <v>105</v>
      </c>
      <c r="W6" s="79" t="s">
        <v>71</v>
      </c>
      <c r="X6" s="77" t="s">
        <v>147</v>
      </c>
      <c r="Y6" s="78" t="s">
        <v>38</v>
      </c>
      <c r="Z6" s="78" t="s">
        <v>140</v>
      </c>
      <c r="AA6" s="78" t="s">
        <v>39</v>
      </c>
      <c r="AB6" s="79" t="s">
        <v>40</v>
      </c>
      <c r="AC6" s="80" t="s">
        <v>143</v>
      </c>
      <c r="AD6" s="77" t="s">
        <v>117</v>
      </c>
      <c r="AE6" s="78" t="s">
        <v>118</v>
      </c>
      <c r="AF6" s="78" t="s">
        <v>119</v>
      </c>
      <c r="AG6" s="78" t="s">
        <v>120</v>
      </c>
      <c r="AH6" s="79" t="s">
        <v>148</v>
      </c>
      <c r="AI6" s="81" t="s">
        <v>46</v>
      </c>
      <c r="AJ6" s="78" t="s">
        <v>47</v>
      </c>
      <c r="AK6" s="78" t="s">
        <v>48</v>
      </c>
      <c r="AL6" s="78" t="s">
        <v>49</v>
      </c>
      <c r="AM6" s="82" t="s">
        <v>50</v>
      </c>
      <c r="AN6" s="78" t="s">
        <v>51</v>
      </c>
      <c r="AO6" s="78" t="s">
        <v>52</v>
      </c>
      <c r="AP6" s="78" t="s">
        <v>103</v>
      </c>
      <c r="AQ6" s="79" t="s">
        <v>53</v>
      </c>
      <c r="AR6" s="77" t="s">
        <v>54</v>
      </c>
      <c r="AS6" s="78" t="s">
        <v>55</v>
      </c>
      <c r="AT6" s="78" t="s">
        <v>56</v>
      </c>
      <c r="AU6" s="78" t="s">
        <v>57</v>
      </c>
      <c r="AV6" s="78" t="s">
        <v>58</v>
      </c>
      <c r="AW6" s="79" t="s">
        <v>59</v>
      </c>
      <c r="AX6" s="77" t="s">
        <v>145</v>
      </c>
      <c r="AY6" s="78" t="s">
        <v>67</v>
      </c>
      <c r="AZ6" s="78" t="s">
        <v>68</v>
      </c>
      <c r="BA6" s="78" t="s">
        <v>69</v>
      </c>
    </row>
    <row r="7" spans="1:164" ht="48" x14ac:dyDescent="0.2">
      <c r="A7" t="s">
        <v>185</v>
      </c>
      <c r="B7" s="125" t="s">
        <v>443</v>
      </c>
      <c r="C7" t="s">
        <v>444</v>
      </c>
      <c r="D7" s="1" t="s">
        <v>73</v>
      </c>
      <c r="E7" t="s">
        <v>72</v>
      </c>
      <c r="F7" t="s">
        <v>72</v>
      </c>
      <c r="G7" s="1" t="s">
        <v>73</v>
      </c>
      <c r="H7" s="1"/>
      <c r="I7" s="1">
        <v>10</v>
      </c>
      <c r="J7">
        <v>6</v>
      </c>
      <c r="N7" s="1">
        <v>3</v>
      </c>
      <c r="O7" s="1"/>
      <c r="P7" s="1"/>
      <c r="Q7">
        <v>0</v>
      </c>
      <c r="R7">
        <v>0</v>
      </c>
      <c r="S7">
        <v>0</v>
      </c>
      <c r="T7">
        <v>0</v>
      </c>
      <c r="U7" t="s">
        <v>73</v>
      </c>
      <c r="V7">
        <v>0</v>
      </c>
      <c r="W7" s="1">
        <v>0</v>
      </c>
      <c r="X7">
        <v>5</v>
      </c>
      <c r="Y7" s="1">
        <v>3</v>
      </c>
      <c r="Z7">
        <v>1</v>
      </c>
      <c r="AA7" s="1">
        <v>0</v>
      </c>
      <c r="AB7" s="1">
        <v>1</v>
      </c>
      <c r="AC7" t="s">
        <v>73</v>
      </c>
      <c r="AD7" s="1">
        <v>4</v>
      </c>
      <c r="AE7" s="1">
        <v>0</v>
      </c>
      <c r="AF7" s="1">
        <v>0</v>
      </c>
      <c r="AG7" s="1">
        <v>0</v>
      </c>
      <c r="AH7">
        <v>0</v>
      </c>
      <c r="AI7" s="1">
        <v>60</v>
      </c>
      <c r="AJ7" s="1">
        <v>20</v>
      </c>
      <c r="AK7" s="1" t="s">
        <v>72</v>
      </c>
      <c r="AL7" s="1" t="s">
        <v>73</v>
      </c>
      <c r="AM7" s="63" t="s">
        <v>458</v>
      </c>
      <c r="AN7" s="1">
        <v>2169</v>
      </c>
      <c r="AO7" s="84">
        <v>46021.889675925922</v>
      </c>
      <c r="AP7" s="56">
        <v>46021.850231481483</v>
      </c>
      <c r="AQ7" s="1" t="s">
        <v>73</v>
      </c>
      <c r="AR7" s="1" t="s">
        <v>73</v>
      </c>
      <c r="AS7" s="1" t="s">
        <v>73</v>
      </c>
      <c r="AT7" s="1" t="s">
        <v>73</v>
      </c>
      <c r="AU7" s="1" t="s">
        <v>73</v>
      </c>
      <c r="AV7" s="1" t="s">
        <v>73</v>
      </c>
      <c r="AW7" s="1">
        <v>0</v>
      </c>
      <c r="AX7" t="s">
        <v>73</v>
      </c>
      <c r="AY7" s="1" t="s">
        <v>158</v>
      </c>
      <c r="AZ7" s="1" t="s">
        <v>158</v>
      </c>
      <c r="BA7" s="1" t="s">
        <v>158</v>
      </c>
      <c r="BC7"/>
      <c r="BF7" s="1"/>
      <c r="BG7" s="1"/>
      <c r="BH7" s="1"/>
      <c r="BI7" s="1"/>
      <c r="BJ7" s="1"/>
      <c r="BK7" s="1"/>
      <c r="BL7" s="1"/>
      <c r="BM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FA7"/>
      <c r="FB7"/>
      <c r="FC7"/>
      <c r="FD7"/>
      <c r="FE7"/>
      <c r="FF7"/>
      <c r="FG7"/>
      <c r="FH7"/>
    </row>
    <row r="8" spans="1:164" ht="144" x14ac:dyDescent="0.2">
      <c r="A8" t="s">
        <v>185</v>
      </c>
      <c r="B8" s="125" t="s">
        <v>435</v>
      </c>
      <c r="C8" t="s">
        <v>436</v>
      </c>
      <c r="D8" s="1" t="s">
        <v>73</v>
      </c>
      <c r="E8" t="s">
        <v>73</v>
      </c>
      <c r="F8" t="s">
        <v>72</v>
      </c>
      <c r="G8" s="1" t="s">
        <v>73</v>
      </c>
      <c r="H8" s="1"/>
      <c r="I8" s="1"/>
      <c r="N8" s="1"/>
      <c r="O8" s="1"/>
      <c r="P8" s="1"/>
      <c r="Q8">
        <v>0</v>
      </c>
      <c r="R8">
        <v>0</v>
      </c>
      <c r="S8">
        <v>0</v>
      </c>
      <c r="T8">
        <v>0</v>
      </c>
      <c r="U8" t="s">
        <v>73</v>
      </c>
      <c r="V8">
        <v>0</v>
      </c>
      <c r="W8" s="1">
        <v>0</v>
      </c>
      <c r="X8">
        <v>0</v>
      </c>
      <c r="Y8" s="1">
        <v>0</v>
      </c>
      <c r="Z8">
        <v>0</v>
      </c>
      <c r="AA8" s="1">
        <v>0</v>
      </c>
      <c r="AB8" s="1">
        <v>0</v>
      </c>
      <c r="AC8" t="s">
        <v>73</v>
      </c>
      <c r="AD8" s="1">
        <v>0</v>
      </c>
      <c r="AE8" s="1">
        <v>0</v>
      </c>
      <c r="AF8" s="1">
        <v>0</v>
      </c>
      <c r="AG8" s="1">
        <v>0</v>
      </c>
      <c r="AH8">
        <v>0</v>
      </c>
      <c r="AI8" s="1">
        <v>3</v>
      </c>
      <c r="AJ8" s="1">
        <v>1</v>
      </c>
      <c r="AK8" s="1" t="s">
        <v>73</v>
      </c>
      <c r="AL8" s="1" t="s">
        <v>73</v>
      </c>
      <c r="AM8" s="63" t="s">
        <v>441</v>
      </c>
      <c r="AN8" s="1">
        <v>2165</v>
      </c>
      <c r="AO8" s="84">
        <v>46021.509363425925</v>
      </c>
      <c r="AP8" s="56">
        <v>46021.46769675926</v>
      </c>
      <c r="AQ8" s="1" t="s">
        <v>73</v>
      </c>
      <c r="AR8" s="1" t="s">
        <v>73</v>
      </c>
      <c r="AS8" s="1" t="s">
        <v>73</v>
      </c>
      <c r="AT8" s="1" t="s">
        <v>73</v>
      </c>
      <c r="AU8" s="1" t="s">
        <v>73</v>
      </c>
      <c r="AV8" s="1" t="s">
        <v>73</v>
      </c>
      <c r="AW8" s="1">
        <v>0</v>
      </c>
      <c r="AX8" t="s">
        <v>73</v>
      </c>
      <c r="AY8" s="1" t="s">
        <v>158</v>
      </c>
      <c r="AZ8" s="1" t="s">
        <v>158</v>
      </c>
      <c r="BA8" s="1" t="s">
        <v>158</v>
      </c>
      <c r="BC8"/>
      <c r="BE8"/>
      <c r="BI8"/>
      <c r="BM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FA8"/>
      <c r="FB8"/>
      <c r="FC8"/>
      <c r="FD8"/>
      <c r="FE8"/>
      <c r="FF8"/>
      <c r="FG8"/>
      <c r="FH8"/>
    </row>
    <row r="9" spans="1:164" ht="16" x14ac:dyDescent="0.2">
      <c r="A9" t="s">
        <v>185</v>
      </c>
      <c r="B9" s="125" t="s">
        <v>429</v>
      </c>
      <c r="C9" t="s">
        <v>430</v>
      </c>
      <c r="D9" s="1" t="s">
        <v>73</v>
      </c>
      <c r="E9" t="s">
        <v>72</v>
      </c>
      <c r="F9" t="s">
        <v>72</v>
      </c>
      <c r="G9" s="1" t="s">
        <v>73</v>
      </c>
      <c r="H9" s="1"/>
      <c r="I9" s="1">
        <v>12</v>
      </c>
      <c r="J9">
        <v>4</v>
      </c>
      <c r="N9" s="1"/>
      <c r="O9" s="1"/>
      <c r="P9" s="1"/>
      <c r="Q9">
        <v>0</v>
      </c>
      <c r="R9">
        <v>0</v>
      </c>
      <c r="S9">
        <v>0</v>
      </c>
      <c r="T9">
        <v>0</v>
      </c>
      <c r="U9" t="s">
        <v>73</v>
      </c>
      <c r="V9">
        <v>0</v>
      </c>
      <c r="W9" s="1">
        <v>0</v>
      </c>
      <c r="X9">
        <v>4</v>
      </c>
      <c r="Y9" s="1">
        <v>4</v>
      </c>
      <c r="Z9">
        <v>0</v>
      </c>
      <c r="AA9" s="1">
        <v>0</v>
      </c>
      <c r="AB9" s="1">
        <v>0</v>
      </c>
      <c r="AC9" t="s">
        <v>73</v>
      </c>
      <c r="AD9" s="1">
        <v>6</v>
      </c>
      <c r="AE9" s="1">
        <v>6</v>
      </c>
      <c r="AF9" s="1">
        <v>0</v>
      </c>
      <c r="AG9" s="1">
        <v>6</v>
      </c>
      <c r="AH9">
        <v>2</v>
      </c>
      <c r="AI9" s="1">
        <v>65</v>
      </c>
      <c r="AJ9" s="1">
        <v>14</v>
      </c>
      <c r="AK9" s="1" t="s">
        <v>72</v>
      </c>
      <c r="AL9" s="1" t="s">
        <v>73</v>
      </c>
      <c r="AM9" s="63" t="s">
        <v>73</v>
      </c>
      <c r="AN9" s="1">
        <v>2158</v>
      </c>
      <c r="AO9" s="84">
        <v>46019.969571759262</v>
      </c>
      <c r="AP9" s="56">
        <v>46019.927905092591</v>
      </c>
      <c r="AQ9" s="1" t="s">
        <v>73</v>
      </c>
      <c r="AR9" s="1" t="s">
        <v>73</v>
      </c>
      <c r="AS9" s="1" t="s">
        <v>73</v>
      </c>
      <c r="AT9" s="1" t="s">
        <v>73</v>
      </c>
      <c r="AU9" s="1" t="s">
        <v>73</v>
      </c>
      <c r="AV9" s="1" t="s">
        <v>73</v>
      </c>
      <c r="AW9" s="1">
        <v>0</v>
      </c>
      <c r="AX9" t="s">
        <v>73</v>
      </c>
      <c r="AY9" s="1" t="s">
        <v>158</v>
      </c>
      <c r="AZ9" s="1" t="s">
        <v>158</v>
      </c>
      <c r="BA9" s="1" t="s">
        <v>158</v>
      </c>
      <c r="BB9" s="1"/>
      <c r="BD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4"/>
      <c r="CH9" s="4"/>
      <c r="CI9" s="1"/>
      <c r="CJ9" s="1"/>
      <c r="CK9" s="1"/>
      <c r="CL9" s="1"/>
      <c r="CM9" s="42"/>
      <c r="CN9" s="1"/>
      <c r="CO9" s="1"/>
      <c r="CT9"/>
      <c r="CU9"/>
      <c r="CV9"/>
      <c r="CW9"/>
      <c r="CX9"/>
      <c r="CY9"/>
      <c r="CZ9"/>
      <c r="DA9"/>
      <c r="DB9"/>
      <c r="DC9"/>
      <c r="DD9"/>
      <c r="DE9"/>
      <c r="DF9"/>
      <c r="DO9"/>
      <c r="DP9"/>
      <c r="DQ9"/>
      <c r="DR9"/>
      <c r="DS9"/>
      <c r="DT9"/>
      <c r="DU9"/>
      <c r="DV9"/>
      <c r="DW9"/>
      <c r="DX9"/>
      <c r="DY9"/>
      <c r="DZ9"/>
      <c r="EA9"/>
      <c r="EB9"/>
      <c r="EC9"/>
      <c r="ED9"/>
      <c r="EE9"/>
      <c r="EF9"/>
      <c r="EG9"/>
      <c r="EH9"/>
      <c r="EI9"/>
      <c r="FA9"/>
      <c r="FB9"/>
      <c r="FC9"/>
      <c r="FD9"/>
      <c r="FE9"/>
      <c r="FF9"/>
      <c r="FG9"/>
      <c r="FH9"/>
    </row>
    <row r="10" spans="1:164" ht="32" x14ac:dyDescent="0.2">
      <c r="A10" t="s">
        <v>185</v>
      </c>
      <c r="B10" s="125" t="s">
        <v>418</v>
      </c>
      <c r="C10" t="s">
        <v>419</v>
      </c>
      <c r="D10" s="1" t="s">
        <v>73</v>
      </c>
      <c r="E10" t="s">
        <v>72</v>
      </c>
      <c r="F10" t="s">
        <v>73</v>
      </c>
      <c r="G10" s="1" t="s">
        <v>73</v>
      </c>
      <c r="H10" s="1"/>
      <c r="I10" s="1">
        <v>8</v>
      </c>
      <c r="J10">
        <v>6</v>
      </c>
      <c r="L10">
        <v>8</v>
      </c>
      <c r="N10" s="1"/>
      <c r="O10" s="1"/>
      <c r="P10" s="1"/>
      <c r="Q10">
        <v>0</v>
      </c>
      <c r="R10">
        <v>0</v>
      </c>
      <c r="S10">
        <v>0</v>
      </c>
      <c r="T10">
        <v>0</v>
      </c>
      <c r="U10" t="s">
        <v>73</v>
      </c>
      <c r="V10">
        <v>0</v>
      </c>
      <c r="W10" s="1">
        <v>0</v>
      </c>
      <c r="X10">
        <v>2</v>
      </c>
      <c r="Y10" s="1">
        <v>2</v>
      </c>
      <c r="Z10">
        <v>0</v>
      </c>
      <c r="AA10" s="1">
        <v>0</v>
      </c>
      <c r="AB10" s="1">
        <v>0</v>
      </c>
      <c r="AC10" t="s">
        <v>73</v>
      </c>
      <c r="AD10" s="1">
        <v>6</v>
      </c>
      <c r="AE10" s="1">
        <v>6</v>
      </c>
      <c r="AF10" s="1">
        <v>0</v>
      </c>
      <c r="AG10" s="1">
        <v>6</v>
      </c>
      <c r="AH10">
        <v>2</v>
      </c>
      <c r="AI10" s="1">
        <v>120</v>
      </c>
      <c r="AJ10" s="1">
        <v>14</v>
      </c>
      <c r="AK10" s="1" t="s">
        <v>72</v>
      </c>
      <c r="AL10" s="1" t="s">
        <v>72</v>
      </c>
      <c r="AM10" s="63" t="s">
        <v>420</v>
      </c>
      <c r="AN10" s="1">
        <v>2152</v>
      </c>
      <c r="AO10" s="84">
        <v>46019.660578703704</v>
      </c>
      <c r="AP10" s="56">
        <v>46022.350983796299</v>
      </c>
      <c r="AQ10" s="1" t="s">
        <v>73</v>
      </c>
      <c r="AR10" s="1" t="s">
        <v>73</v>
      </c>
      <c r="AS10" s="1" t="s">
        <v>73</v>
      </c>
      <c r="AT10" s="1" t="s">
        <v>73</v>
      </c>
      <c r="AU10" s="1" t="s">
        <v>73</v>
      </c>
      <c r="AV10" s="1" t="s">
        <v>73</v>
      </c>
      <c r="AW10" s="1">
        <v>0</v>
      </c>
      <c r="AX10" t="s">
        <v>73</v>
      </c>
      <c r="AY10" s="1" t="s">
        <v>158</v>
      </c>
      <c r="AZ10" s="1" t="s">
        <v>158</v>
      </c>
      <c r="BA10" s="1" t="s">
        <v>158</v>
      </c>
      <c r="BB10" s="1"/>
      <c r="BD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4"/>
      <c r="CH10" s="4"/>
      <c r="CI10" s="1"/>
      <c r="CJ10" s="1"/>
      <c r="CK10" s="1"/>
      <c r="CL10" s="1"/>
      <c r="CM10" s="42"/>
      <c r="CN10" s="1"/>
      <c r="CO10" s="1"/>
      <c r="CT10"/>
      <c r="CU10"/>
      <c r="CV10"/>
      <c r="CW10"/>
      <c r="CX10"/>
      <c r="CY10"/>
      <c r="CZ10"/>
      <c r="DA10"/>
      <c r="DB10"/>
      <c r="DC10"/>
      <c r="DD10"/>
      <c r="DE10"/>
      <c r="DF10"/>
      <c r="DO10"/>
      <c r="DP10"/>
      <c r="DQ10"/>
      <c r="DR10"/>
      <c r="DS10"/>
      <c r="DT10"/>
      <c r="DU10"/>
      <c r="DV10"/>
      <c r="DW10"/>
      <c r="DX10"/>
      <c r="DY10"/>
      <c r="DZ10"/>
      <c r="EA10"/>
      <c r="EB10"/>
      <c r="EC10"/>
      <c r="ED10"/>
      <c r="EE10"/>
      <c r="EF10"/>
      <c r="EG10"/>
      <c r="EH10"/>
      <c r="EI10"/>
      <c r="FA10"/>
      <c r="FB10"/>
      <c r="FC10"/>
      <c r="FD10"/>
      <c r="FE10"/>
      <c r="FF10"/>
      <c r="FG10"/>
      <c r="FH10"/>
    </row>
    <row r="11" spans="1:164" ht="16" x14ac:dyDescent="0.2">
      <c r="A11" t="s">
        <v>185</v>
      </c>
      <c r="B11" s="125" t="s">
        <v>403</v>
      </c>
      <c r="C11" t="s">
        <v>404</v>
      </c>
      <c r="D11" s="1" t="s">
        <v>73</v>
      </c>
      <c r="E11" t="s">
        <v>72</v>
      </c>
      <c r="F11" t="s">
        <v>72</v>
      </c>
      <c r="G11" s="1" t="s">
        <v>73</v>
      </c>
      <c r="H11" s="1"/>
      <c r="I11" s="1">
        <v>8</v>
      </c>
      <c r="N11" s="1">
        <v>4</v>
      </c>
      <c r="O11" s="1"/>
      <c r="P11" s="1"/>
      <c r="Q11">
        <v>2</v>
      </c>
      <c r="R11">
        <v>2</v>
      </c>
      <c r="S11">
        <v>0</v>
      </c>
      <c r="T11">
        <v>0</v>
      </c>
      <c r="U11" t="s">
        <v>72</v>
      </c>
      <c r="V11">
        <v>0</v>
      </c>
      <c r="W11" s="1">
        <v>0</v>
      </c>
      <c r="X11">
        <v>3</v>
      </c>
      <c r="Y11" s="1">
        <v>3</v>
      </c>
      <c r="Z11">
        <v>0</v>
      </c>
      <c r="AA11" s="1">
        <v>0</v>
      </c>
      <c r="AB11" s="1">
        <v>0</v>
      </c>
      <c r="AC11" t="s">
        <v>73</v>
      </c>
      <c r="AD11" s="1">
        <v>6</v>
      </c>
      <c r="AE11" s="1">
        <v>6</v>
      </c>
      <c r="AF11" s="1">
        <v>0</v>
      </c>
      <c r="AG11" s="1">
        <v>6</v>
      </c>
      <c r="AH11">
        <v>1</v>
      </c>
      <c r="AI11" s="1">
        <v>65</v>
      </c>
      <c r="AJ11" s="1">
        <v>5</v>
      </c>
      <c r="AK11" s="1" t="s">
        <v>73</v>
      </c>
      <c r="AL11" s="1" t="s">
        <v>73</v>
      </c>
      <c r="AM11" s="63" t="s">
        <v>73</v>
      </c>
      <c r="AN11" s="1">
        <v>2144</v>
      </c>
      <c r="AO11" s="84">
        <v>46018.570393518516</v>
      </c>
      <c r="AP11" s="56">
        <v>46018.528726851851</v>
      </c>
      <c r="AQ11" s="1" t="s">
        <v>404</v>
      </c>
      <c r="AR11" s="1" t="s">
        <v>78</v>
      </c>
      <c r="AS11" s="1" t="s">
        <v>179</v>
      </c>
      <c r="AT11" s="1" t="s">
        <v>219</v>
      </c>
      <c r="AU11" s="1" t="s">
        <v>406</v>
      </c>
      <c r="AV11" s="1" t="s">
        <v>406</v>
      </c>
      <c r="AW11" s="1">
        <v>35</v>
      </c>
      <c r="AX11" t="s">
        <v>73</v>
      </c>
      <c r="AY11" s="1" t="s">
        <v>158</v>
      </c>
      <c r="AZ11" s="1" t="s">
        <v>158</v>
      </c>
      <c r="BA11" s="1" t="s">
        <v>158</v>
      </c>
      <c r="BB11" s="1"/>
      <c r="BD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4"/>
      <c r="CH11" s="4"/>
      <c r="CI11" s="1"/>
      <c r="CJ11" s="1"/>
      <c r="CK11" s="1"/>
      <c r="CL11" s="1"/>
      <c r="CM11" s="42"/>
      <c r="CN11" s="1"/>
      <c r="CO11" s="1"/>
      <c r="CT11"/>
      <c r="CU11"/>
      <c r="CV11"/>
      <c r="CW11"/>
      <c r="CX11"/>
      <c r="CY11"/>
      <c r="CZ11"/>
      <c r="DA11"/>
      <c r="DB11"/>
      <c r="DC11"/>
      <c r="DD11"/>
      <c r="DE11"/>
      <c r="DF11"/>
      <c r="DO11"/>
      <c r="DP11"/>
      <c r="DQ11"/>
      <c r="DR11"/>
      <c r="DS11"/>
      <c r="DT11"/>
      <c r="DU11"/>
      <c r="DV11"/>
      <c r="DW11"/>
      <c r="DX11"/>
      <c r="DY11"/>
      <c r="DZ11"/>
      <c r="EA11"/>
      <c r="EB11"/>
      <c r="EC11"/>
      <c r="ED11"/>
      <c r="EE11"/>
      <c r="EF11"/>
      <c r="EG11"/>
      <c r="EH11"/>
      <c r="EI11"/>
      <c r="FA11"/>
      <c r="FB11"/>
      <c r="FC11"/>
      <c r="FD11"/>
      <c r="FE11"/>
      <c r="FF11"/>
      <c r="FG11"/>
      <c r="FH11"/>
    </row>
    <row r="12" spans="1:164" ht="16" x14ac:dyDescent="0.2">
      <c r="A12" t="s">
        <v>185</v>
      </c>
      <c r="B12" s="125" t="s">
        <v>393</v>
      </c>
      <c r="C12" t="s">
        <v>394</v>
      </c>
      <c r="D12" s="1" t="s">
        <v>72</v>
      </c>
      <c r="E12" t="s">
        <v>72</v>
      </c>
      <c r="F12" t="s">
        <v>72</v>
      </c>
      <c r="G12" s="1" t="s">
        <v>72</v>
      </c>
      <c r="H12" s="1" t="s">
        <v>72</v>
      </c>
      <c r="I12" s="1">
        <v>13</v>
      </c>
      <c r="J12">
        <v>8</v>
      </c>
      <c r="L12">
        <v>6</v>
      </c>
      <c r="N12" s="1">
        <v>9</v>
      </c>
      <c r="O12" s="1"/>
      <c r="P12" s="1"/>
      <c r="Q12">
        <v>0</v>
      </c>
      <c r="R12">
        <v>0</v>
      </c>
      <c r="S12">
        <v>0</v>
      </c>
      <c r="T12">
        <v>0</v>
      </c>
      <c r="U12" t="s">
        <v>73</v>
      </c>
      <c r="V12">
        <v>5</v>
      </c>
      <c r="W12" s="1">
        <v>21</v>
      </c>
      <c r="X12">
        <v>14</v>
      </c>
      <c r="Y12" s="1">
        <v>7</v>
      </c>
      <c r="Z12">
        <v>6</v>
      </c>
      <c r="AA12" s="1">
        <v>0</v>
      </c>
      <c r="AB12" s="1">
        <v>1</v>
      </c>
      <c r="AC12" t="s">
        <v>73</v>
      </c>
      <c r="AD12" s="1">
        <v>5</v>
      </c>
      <c r="AE12" s="1">
        <v>5</v>
      </c>
      <c r="AF12" s="1">
        <v>5</v>
      </c>
      <c r="AG12" s="1">
        <v>5</v>
      </c>
      <c r="AH12">
        <v>0</v>
      </c>
      <c r="AI12" s="1">
        <v>120</v>
      </c>
      <c r="AJ12" s="1">
        <v>34</v>
      </c>
      <c r="AK12" s="1" t="s">
        <v>73</v>
      </c>
      <c r="AL12" s="1" t="s">
        <v>73</v>
      </c>
      <c r="AM12" s="63" t="s">
        <v>73</v>
      </c>
      <c r="AN12" s="1">
        <v>2141</v>
      </c>
      <c r="AO12" s="84">
        <v>46017.704988425925</v>
      </c>
      <c r="AP12" s="56">
        <v>46019.887025462966</v>
      </c>
      <c r="AQ12" s="1" t="s">
        <v>73</v>
      </c>
      <c r="AR12" s="1" t="s">
        <v>73</v>
      </c>
      <c r="AS12" s="1" t="s">
        <v>73</v>
      </c>
      <c r="AT12" s="1" t="s">
        <v>73</v>
      </c>
      <c r="AU12" s="1" t="s">
        <v>73</v>
      </c>
      <c r="AV12" s="1" t="s">
        <v>73</v>
      </c>
      <c r="AW12" s="1">
        <v>0</v>
      </c>
      <c r="AX12" t="s">
        <v>75</v>
      </c>
      <c r="AY12" s="1" t="s">
        <v>396</v>
      </c>
      <c r="AZ12" s="1" t="s">
        <v>214</v>
      </c>
      <c r="BA12" s="1" t="s">
        <v>397</v>
      </c>
      <c r="BB12" s="1"/>
      <c r="BD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4"/>
      <c r="CH12" s="4"/>
      <c r="CI12" s="1"/>
      <c r="CJ12" s="1"/>
      <c r="CK12" s="1"/>
      <c r="CL12" s="1"/>
      <c r="CM12" s="42"/>
      <c r="CN12" s="1"/>
      <c r="CO12" s="1"/>
      <c r="CT12"/>
      <c r="CU12"/>
      <c r="CV12"/>
      <c r="CW12"/>
      <c r="CX12"/>
      <c r="CY12"/>
      <c r="CZ12"/>
      <c r="DA12"/>
      <c r="DB12"/>
      <c r="DC12"/>
      <c r="DD12"/>
      <c r="DE12"/>
      <c r="DF12"/>
      <c r="DO12"/>
      <c r="DP12"/>
      <c r="DQ12"/>
      <c r="DR12"/>
      <c r="DS12"/>
      <c r="DT12"/>
      <c r="DU12"/>
      <c r="DV12"/>
      <c r="DW12"/>
      <c r="DX12"/>
      <c r="DY12"/>
      <c r="DZ12"/>
      <c r="EA12"/>
      <c r="EB12"/>
      <c r="EC12"/>
      <c r="ED12"/>
      <c r="EE12"/>
      <c r="EF12"/>
      <c r="EG12"/>
      <c r="EH12"/>
      <c r="EI12"/>
      <c r="FA12"/>
      <c r="FB12"/>
      <c r="FC12"/>
      <c r="FD12"/>
      <c r="FE12"/>
      <c r="FF12"/>
      <c r="FG12"/>
      <c r="FH12"/>
    </row>
    <row r="13" spans="1:164" ht="16" x14ac:dyDescent="0.2">
      <c r="A13" t="s">
        <v>185</v>
      </c>
      <c r="B13" s="125" t="s">
        <v>388</v>
      </c>
      <c r="C13" t="s">
        <v>389</v>
      </c>
      <c r="D13" s="1" t="s">
        <v>73</v>
      </c>
      <c r="E13" t="s">
        <v>72</v>
      </c>
      <c r="F13" t="s">
        <v>72</v>
      </c>
      <c r="G13" s="1" t="s">
        <v>73</v>
      </c>
      <c r="H13" s="1"/>
      <c r="I13" s="1">
        <v>12</v>
      </c>
      <c r="N13" s="1">
        <v>4</v>
      </c>
      <c r="O13" s="1"/>
      <c r="P13" s="1"/>
      <c r="Q13">
        <v>2</v>
      </c>
      <c r="R13">
        <v>2</v>
      </c>
      <c r="S13">
        <v>0</v>
      </c>
      <c r="T13">
        <v>0</v>
      </c>
      <c r="U13" t="s">
        <v>73</v>
      </c>
      <c r="V13">
        <v>0</v>
      </c>
      <c r="W13" s="1">
        <v>0</v>
      </c>
      <c r="X13">
        <v>3</v>
      </c>
      <c r="Y13" s="1">
        <v>3</v>
      </c>
      <c r="Z13">
        <v>0</v>
      </c>
      <c r="AA13" s="1">
        <v>0</v>
      </c>
      <c r="AB13" s="1">
        <v>0</v>
      </c>
      <c r="AC13" t="s">
        <v>73</v>
      </c>
      <c r="AD13" s="1">
        <v>6</v>
      </c>
      <c r="AE13" s="1">
        <v>4</v>
      </c>
      <c r="AF13" s="1">
        <v>0</v>
      </c>
      <c r="AG13" s="1">
        <v>0</v>
      </c>
      <c r="AH13">
        <v>2</v>
      </c>
      <c r="AI13" s="1">
        <v>50</v>
      </c>
      <c r="AJ13" s="1">
        <v>8</v>
      </c>
      <c r="AK13" s="1" t="s">
        <v>72</v>
      </c>
      <c r="AL13" s="1" t="s">
        <v>73</v>
      </c>
      <c r="AM13" s="63" t="s">
        <v>73</v>
      </c>
      <c r="AN13" s="1">
        <v>2140</v>
      </c>
      <c r="AO13" s="84">
        <v>46017.580243055556</v>
      </c>
      <c r="AP13" s="56">
        <v>46017.538576388892</v>
      </c>
      <c r="AQ13" s="1" t="s">
        <v>73</v>
      </c>
      <c r="AR13" s="1" t="s">
        <v>73</v>
      </c>
      <c r="AS13" s="1" t="s">
        <v>73</v>
      </c>
      <c r="AT13" s="1" t="s">
        <v>73</v>
      </c>
      <c r="AU13" s="1" t="s">
        <v>73</v>
      </c>
      <c r="AV13" s="1" t="s">
        <v>73</v>
      </c>
      <c r="AW13" s="1">
        <v>0</v>
      </c>
      <c r="AX13" t="s">
        <v>73</v>
      </c>
      <c r="AY13" s="1" t="s">
        <v>158</v>
      </c>
      <c r="AZ13" s="1" t="s">
        <v>158</v>
      </c>
      <c r="BA13" s="1" t="s">
        <v>158</v>
      </c>
      <c r="BB13" s="1"/>
      <c r="BD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4"/>
      <c r="CH13" s="4"/>
      <c r="CI13" s="1"/>
      <c r="CJ13" s="1"/>
      <c r="CK13" s="1"/>
      <c r="CL13" s="1"/>
      <c r="CM13" s="42"/>
      <c r="CN13" s="1"/>
      <c r="CO13" s="1"/>
      <c r="CT13"/>
      <c r="CU13"/>
      <c r="CV13"/>
      <c r="CW13"/>
      <c r="CX13"/>
      <c r="CY13"/>
      <c r="CZ13"/>
      <c r="DA13"/>
      <c r="DB13"/>
      <c r="DC13"/>
      <c r="DD13"/>
      <c r="DE13"/>
      <c r="DF13"/>
      <c r="DO13"/>
      <c r="DP13"/>
      <c r="DQ13"/>
      <c r="DR13"/>
      <c r="DS13"/>
      <c r="DT13"/>
      <c r="DU13"/>
      <c r="DV13"/>
      <c r="DW13"/>
      <c r="DX13"/>
      <c r="DY13"/>
      <c r="DZ13"/>
      <c r="EA13"/>
      <c r="EB13"/>
      <c r="EC13"/>
      <c r="ED13"/>
      <c r="EE13"/>
      <c r="EF13"/>
      <c r="EG13"/>
      <c r="EH13"/>
      <c r="EI13"/>
      <c r="FA13"/>
      <c r="FB13"/>
      <c r="FC13"/>
      <c r="FD13"/>
      <c r="FE13"/>
      <c r="FF13"/>
      <c r="FG13"/>
      <c r="FH13"/>
    </row>
    <row r="14" spans="1:164" ht="32" x14ac:dyDescent="0.2">
      <c r="A14" t="s">
        <v>185</v>
      </c>
      <c r="B14" s="125" t="s">
        <v>388</v>
      </c>
      <c r="C14" t="s">
        <v>389</v>
      </c>
      <c r="D14" s="1" t="s">
        <v>73</v>
      </c>
      <c r="E14" t="s">
        <v>72</v>
      </c>
      <c r="F14" t="s">
        <v>73</v>
      </c>
      <c r="G14" s="1" t="s">
        <v>73</v>
      </c>
      <c r="H14" s="1"/>
      <c r="I14" s="1"/>
      <c r="N14" s="1"/>
      <c r="O14" s="1"/>
      <c r="P14" s="1"/>
      <c r="Q14">
        <v>0</v>
      </c>
      <c r="R14">
        <v>0</v>
      </c>
      <c r="S14">
        <v>0</v>
      </c>
      <c r="T14">
        <v>0</v>
      </c>
      <c r="U14" t="s">
        <v>73</v>
      </c>
      <c r="V14">
        <v>0</v>
      </c>
      <c r="W14" s="1">
        <v>0</v>
      </c>
      <c r="X14">
        <v>0</v>
      </c>
      <c r="Y14" s="1">
        <v>0</v>
      </c>
      <c r="Z14">
        <v>0</v>
      </c>
      <c r="AA14" s="1">
        <v>0</v>
      </c>
      <c r="AB14" s="1">
        <v>0</v>
      </c>
      <c r="AC14" t="s">
        <v>73</v>
      </c>
      <c r="AD14" s="1">
        <v>0</v>
      </c>
      <c r="AE14" s="1">
        <v>0</v>
      </c>
      <c r="AF14" s="1">
        <v>0</v>
      </c>
      <c r="AG14" s="1">
        <v>0</v>
      </c>
      <c r="AH14">
        <v>0</v>
      </c>
      <c r="AI14" s="1">
        <v>50</v>
      </c>
      <c r="AJ14" s="1">
        <v>7</v>
      </c>
      <c r="AK14" s="1" t="s">
        <v>72</v>
      </c>
      <c r="AL14" s="1" t="s">
        <v>73</v>
      </c>
      <c r="AM14" s="63" t="s">
        <v>391</v>
      </c>
      <c r="AN14" s="1">
        <v>2135</v>
      </c>
      <c r="AO14" s="84">
        <v>46017.43074074074</v>
      </c>
      <c r="AP14" s="56">
        <v>46017.389074074075</v>
      </c>
      <c r="AQ14" s="1" t="s">
        <v>73</v>
      </c>
      <c r="AR14" s="1" t="s">
        <v>73</v>
      </c>
      <c r="AS14" s="1" t="s">
        <v>73</v>
      </c>
      <c r="AT14" s="1" t="s">
        <v>73</v>
      </c>
      <c r="AU14" s="1" t="s">
        <v>73</v>
      </c>
      <c r="AV14" s="1" t="s">
        <v>73</v>
      </c>
      <c r="AW14" s="1">
        <v>0</v>
      </c>
      <c r="AX14" t="s">
        <v>73</v>
      </c>
      <c r="AY14" s="1" t="s">
        <v>158</v>
      </c>
      <c r="AZ14" s="1" t="s">
        <v>158</v>
      </c>
      <c r="BA14" s="1" t="s">
        <v>158</v>
      </c>
      <c r="BC14"/>
      <c r="BE14"/>
      <c r="BI14"/>
      <c r="BM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FA14"/>
      <c r="FB14"/>
      <c r="FC14"/>
      <c r="FD14"/>
      <c r="FE14"/>
      <c r="FF14"/>
      <c r="FG14"/>
      <c r="FH14"/>
    </row>
    <row r="15" spans="1:164" ht="16" x14ac:dyDescent="0.2">
      <c r="A15" t="s">
        <v>185</v>
      </c>
      <c r="B15" s="125" t="s">
        <v>206</v>
      </c>
      <c r="C15" t="s">
        <v>207</v>
      </c>
      <c r="D15" s="1" t="s">
        <v>73</v>
      </c>
      <c r="E15" t="s">
        <v>72</v>
      </c>
      <c r="F15" t="s">
        <v>72</v>
      </c>
      <c r="G15" s="1" t="s">
        <v>262</v>
      </c>
      <c r="H15" s="1"/>
      <c r="I15" s="1">
        <v>7</v>
      </c>
      <c r="J15">
        <v>3</v>
      </c>
      <c r="N15" s="1"/>
      <c r="O15" s="1"/>
      <c r="P15" s="1"/>
      <c r="Q15">
        <v>1</v>
      </c>
      <c r="R15">
        <v>1</v>
      </c>
      <c r="S15">
        <v>0</v>
      </c>
      <c r="T15">
        <v>0</v>
      </c>
      <c r="U15" t="s">
        <v>73</v>
      </c>
      <c r="V15">
        <v>7</v>
      </c>
      <c r="W15" s="1">
        <v>10</v>
      </c>
      <c r="X15">
        <v>0</v>
      </c>
      <c r="Y15" s="1">
        <v>0</v>
      </c>
      <c r="Z15">
        <v>0</v>
      </c>
      <c r="AA15" s="1">
        <v>0</v>
      </c>
      <c r="AB15" s="1">
        <v>0</v>
      </c>
      <c r="AC15" t="s">
        <v>73</v>
      </c>
      <c r="AD15" s="1">
        <v>6</v>
      </c>
      <c r="AE15" s="1">
        <v>6</v>
      </c>
      <c r="AF15" s="1">
        <v>0</v>
      </c>
      <c r="AG15" s="1">
        <v>6</v>
      </c>
      <c r="AH15">
        <v>3</v>
      </c>
      <c r="AI15" s="1">
        <v>45</v>
      </c>
      <c r="AJ15" s="1">
        <v>15</v>
      </c>
      <c r="AK15" s="1" t="s">
        <v>73</v>
      </c>
      <c r="AL15" s="1" t="s">
        <v>73</v>
      </c>
      <c r="AM15" s="63" t="s">
        <v>73</v>
      </c>
      <c r="AN15" s="1">
        <v>2128</v>
      </c>
      <c r="AO15" s="84">
        <v>46014.910451388889</v>
      </c>
      <c r="AP15" s="56">
        <v>46014.868784722225</v>
      </c>
      <c r="AQ15" s="1" t="s">
        <v>73</v>
      </c>
      <c r="AR15" s="1" t="s">
        <v>73</v>
      </c>
      <c r="AS15" s="1" t="s">
        <v>73</v>
      </c>
      <c r="AT15" s="1" t="s">
        <v>73</v>
      </c>
      <c r="AU15" s="1" t="s">
        <v>73</v>
      </c>
      <c r="AV15" s="1" t="s">
        <v>73</v>
      </c>
      <c r="AW15" s="1">
        <v>0</v>
      </c>
      <c r="AX15" t="s">
        <v>75</v>
      </c>
      <c r="AY15" s="1" t="s">
        <v>375</v>
      </c>
      <c r="AZ15" s="1" t="s">
        <v>376</v>
      </c>
      <c r="BA15" s="1" t="s">
        <v>377</v>
      </c>
      <c r="BB15" s="1"/>
      <c r="BD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4"/>
      <c r="CH15" s="4"/>
      <c r="CI15" s="1"/>
      <c r="CJ15" s="1"/>
      <c r="CK15" s="1"/>
      <c r="CL15" s="1"/>
      <c r="CM15" s="42"/>
      <c r="CN15" s="1"/>
      <c r="CO15" s="1"/>
      <c r="CT15"/>
      <c r="CU15"/>
      <c r="CV15"/>
      <c r="CW15"/>
      <c r="CX15"/>
      <c r="CY15"/>
      <c r="CZ15"/>
      <c r="DA15"/>
      <c r="DB15"/>
      <c r="DC15"/>
      <c r="DD15"/>
      <c r="DE15"/>
      <c r="DF15"/>
      <c r="DO15"/>
      <c r="DP15"/>
      <c r="DQ15"/>
      <c r="DR15"/>
      <c r="DS15"/>
      <c r="DT15"/>
      <c r="DU15"/>
      <c r="DV15"/>
      <c r="DW15"/>
      <c r="DX15"/>
      <c r="DY15"/>
      <c r="DZ15"/>
      <c r="EA15"/>
      <c r="EB15"/>
      <c r="EC15"/>
      <c r="ED15"/>
      <c r="EE15"/>
      <c r="EF15"/>
      <c r="EG15"/>
      <c r="EH15"/>
      <c r="EI15"/>
      <c r="FA15"/>
      <c r="FB15"/>
      <c r="FC15"/>
      <c r="FD15"/>
      <c r="FE15"/>
      <c r="FF15"/>
      <c r="FG15"/>
      <c r="FH15"/>
    </row>
    <row r="16" spans="1:164" ht="16" x14ac:dyDescent="0.2">
      <c r="A16" t="s">
        <v>185</v>
      </c>
      <c r="B16" s="125" t="s">
        <v>381</v>
      </c>
      <c r="C16" t="s">
        <v>382</v>
      </c>
      <c r="D16" s="1" t="s">
        <v>73</v>
      </c>
      <c r="E16" t="s">
        <v>72</v>
      </c>
      <c r="F16" t="s">
        <v>72</v>
      </c>
      <c r="G16" s="1" t="s">
        <v>73</v>
      </c>
      <c r="H16" s="1"/>
      <c r="I16" s="1">
        <v>5</v>
      </c>
      <c r="N16" s="1"/>
      <c r="O16" s="1"/>
      <c r="P16" s="1"/>
      <c r="Q16">
        <v>0</v>
      </c>
      <c r="R16">
        <v>0</v>
      </c>
      <c r="S16">
        <v>0</v>
      </c>
      <c r="T16">
        <v>0</v>
      </c>
      <c r="U16" t="s">
        <v>72</v>
      </c>
      <c r="V16">
        <v>0</v>
      </c>
      <c r="W16" s="1">
        <v>0</v>
      </c>
      <c r="X16">
        <v>0</v>
      </c>
      <c r="Y16" s="1">
        <v>0</v>
      </c>
      <c r="Z16">
        <v>0</v>
      </c>
      <c r="AA16" s="1">
        <v>0</v>
      </c>
      <c r="AB16" s="1">
        <v>0</v>
      </c>
      <c r="AC16" t="s">
        <v>73</v>
      </c>
      <c r="AD16" s="1">
        <v>6</v>
      </c>
      <c r="AE16" s="1">
        <v>6</v>
      </c>
      <c r="AF16" s="1">
        <v>0</v>
      </c>
      <c r="AG16" s="1">
        <v>6</v>
      </c>
      <c r="AH16">
        <v>1</v>
      </c>
      <c r="AI16" s="1">
        <v>50</v>
      </c>
      <c r="AJ16" s="1">
        <v>3</v>
      </c>
      <c r="AK16" s="1" t="s">
        <v>73</v>
      </c>
      <c r="AL16" s="1" t="s">
        <v>73</v>
      </c>
      <c r="AM16" s="63" t="s">
        <v>73</v>
      </c>
      <c r="AN16" s="1">
        <v>2125</v>
      </c>
      <c r="AO16" s="84">
        <v>46014.807118055556</v>
      </c>
      <c r="AP16" s="56">
        <v>46014.765451388892</v>
      </c>
      <c r="AQ16" s="1" t="s">
        <v>382</v>
      </c>
      <c r="AR16" s="1" t="s">
        <v>78</v>
      </c>
      <c r="AS16" s="1" t="s">
        <v>76</v>
      </c>
      <c r="AT16" s="1" t="s">
        <v>77</v>
      </c>
      <c r="AU16" s="1" t="s">
        <v>384</v>
      </c>
      <c r="AV16" s="1" t="s">
        <v>385</v>
      </c>
      <c r="AW16" s="1">
        <v>35</v>
      </c>
      <c r="AX16" t="s">
        <v>73</v>
      </c>
      <c r="AY16" s="1" t="s">
        <v>158</v>
      </c>
      <c r="AZ16" s="1" t="s">
        <v>158</v>
      </c>
      <c r="BA16" s="1" t="s">
        <v>158</v>
      </c>
      <c r="BB16" s="1"/>
      <c r="BD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4"/>
      <c r="CH16" s="4"/>
      <c r="CI16" s="1"/>
      <c r="CJ16" s="1"/>
      <c r="CK16" s="1"/>
      <c r="CL16" s="1"/>
      <c r="CM16" s="42"/>
      <c r="CN16" s="1"/>
      <c r="CO16" s="1"/>
      <c r="CT16"/>
      <c r="CU16"/>
      <c r="CV16"/>
      <c r="CW16"/>
      <c r="CX16"/>
      <c r="CY16"/>
      <c r="CZ16"/>
      <c r="DA16"/>
      <c r="DB16"/>
      <c r="DC16"/>
      <c r="DD16"/>
      <c r="DE16"/>
      <c r="DF16"/>
      <c r="DO16"/>
      <c r="DP16"/>
      <c r="DQ16"/>
      <c r="DR16"/>
      <c r="DS16"/>
      <c r="DT16"/>
      <c r="DU16"/>
      <c r="DV16"/>
      <c r="DW16"/>
      <c r="DX16"/>
      <c r="DY16"/>
      <c r="DZ16"/>
      <c r="EA16"/>
      <c r="EB16"/>
      <c r="EC16"/>
      <c r="ED16"/>
      <c r="EE16"/>
      <c r="EF16"/>
      <c r="EG16"/>
      <c r="EH16"/>
      <c r="EI16"/>
      <c r="FA16"/>
      <c r="FB16"/>
      <c r="FC16"/>
      <c r="FD16"/>
      <c r="FE16"/>
      <c r="FF16"/>
      <c r="FG16"/>
      <c r="FH16"/>
    </row>
    <row r="17" spans="1:164" ht="16" x14ac:dyDescent="0.2">
      <c r="A17" t="s">
        <v>185</v>
      </c>
      <c r="B17" s="125" t="s">
        <v>364</v>
      </c>
      <c r="C17" t="s">
        <v>365</v>
      </c>
      <c r="D17" s="1" t="s">
        <v>73</v>
      </c>
      <c r="E17" t="s">
        <v>73</v>
      </c>
      <c r="F17" t="s">
        <v>72</v>
      </c>
      <c r="G17" s="1" t="s">
        <v>73</v>
      </c>
      <c r="H17" s="1"/>
      <c r="I17" s="1"/>
      <c r="N17" s="1"/>
      <c r="O17" s="1"/>
      <c r="P17" s="1"/>
      <c r="Q17">
        <v>0</v>
      </c>
      <c r="R17">
        <v>0</v>
      </c>
      <c r="S17">
        <v>0</v>
      </c>
      <c r="T17">
        <v>0</v>
      </c>
      <c r="U17" t="s">
        <v>73</v>
      </c>
      <c r="V17">
        <v>0</v>
      </c>
      <c r="W17" s="1">
        <v>0</v>
      </c>
      <c r="X17">
        <v>0</v>
      </c>
      <c r="Y17" s="1">
        <v>0</v>
      </c>
      <c r="Z17">
        <v>0</v>
      </c>
      <c r="AA17" s="1">
        <v>0</v>
      </c>
      <c r="AB17" s="1">
        <v>0</v>
      </c>
      <c r="AC17" t="s">
        <v>73</v>
      </c>
      <c r="AD17" s="1">
        <v>0</v>
      </c>
      <c r="AE17" s="1">
        <v>0</v>
      </c>
      <c r="AF17" s="1">
        <v>0</v>
      </c>
      <c r="AG17" s="1">
        <v>0</v>
      </c>
      <c r="AH17">
        <v>0</v>
      </c>
      <c r="AI17" s="1">
        <v>20</v>
      </c>
      <c r="AJ17" s="1">
        <v>2</v>
      </c>
      <c r="AK17" s="1" t="s">
        <v>72</v>
      </c>
      <c r="AL17" s="1" t="s">
        <v>73</v>
      </c>
      <c r="AM17" s="63" t="s">
        <v>73</v>
      </c>
      <c r="AN17" s="1">
        <v>2119</v>
      </c>
      <c r="AO17" s="84">
        <v>46013.911365740743</v>
      </c>
      <c r="AP17" s="56">
        <v>46013.869699074072</v>
      </c>
      <c r="AQ17" s="1" t="s">
        <v>73</v>
      </c>
      <c r="AR17" s="1" t="s">
        <v>73</v>
      </c>
      <c r="AS17" s="1" t="s">
        <v>73</v>
      </c>
      <c r="AT17" s="1" t="s">
        <v>73</v>
      </c>
      <c r="AU17" s="1" t="s">
        <v>73</v>
      </c>
      <c r="AV17" s="1" t="s">
        <v>73</v>
      </c>
      <c r="AW17" s="1">
        <v>0</v>
      </c>
      <c r="AX17" t="s">
        <v>73</v>
      </c>
      <c r="AY17" s="1" t="s">
        <v>158</v>
      </c>
      <c r="AZ17" s="1" t="s">
        <v>158</v>
      </c>
      <c r="BA17" s="1" t="s">
        <v>158</v>
      </c>
      <c r="BB17" s="1"/>
      <c r="BD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4"/>
      <c r="CH17" s="4"/>
      <c r="CI17" s="1"/>
      <c r="CJ17" s="1"/>
      <c r="CK17" s="1"/>
      <c r="CL17" s="1"/>
      <c r="CM17" s="42"/>
      <c r="CN17" s="1"/>
      <c r="CO17" s="1"/>
      <c r="CT17"/>
      <c r="CU17"/>
      <c r="CV17"/>
      <c r="CW17"/>
      <c r="CX17"/>
      <c r="CY17"/>
      <c r="CZ17"/>
      <c r="DA17"/>
      <c r="DB17"/>
      <c r="DC17"/>
      <c r="DD17"/>
      <c r="DE17"/>
      <c r="DF17"/>
      <c r="DO17"/>
      <c r="DP17"/>
      <c r="DQ17"/>
      <c r="DR17"/>
      <c r="DS17"/>
      <c r="DT17"/>
      <c r="DU17"/>
      <c r="DV17"/>
      <c r="DW17"/>
      <c r="DX17"/>
      <c r="DY17"/>
      <c r="DZ17"/>
      <c r="EA17"/>
      <c r="EB17"/>
      <c r="EC17"/>
      <c r="ED17"/>
      <c r="EE17"/>
      <c r="EF17"/>
      <c r="EG17"/>
      <c r="EH17"/>
      <c r="EI17"/>
      <c r="FA17"/>
      <c r="FB17"/>
      <c r="FC17"/>
      <c r="FD17"/>
      <c r="FE17"/>
      <c r="FF17"/>
      <c r="FG17"/>
      <c r="FH17"/>
    </row>
    <row r="18" spans="1:164" ht="32" x14ac:dyDescent="0.2">
      <c r="A18" t="s">
        <v>185</v>
      </c>
      <c r="B18" s="125" t="s">
        <v>332</v>
      </c>
      <c r="C18" t="s">
        <v>333</v>
      </c>
      <c r="D18" s="1" t="s">
        <v>73</v>
      </c>
      <c r="E18" t="s">
        <v>72</v>
      </c>
      <c r="F18" t="s">
        <v>73</v>
      </c>
      <c r="G18" s="1" t="s">
        <v>72</v>
      </c>
      <c r="H18" s="1" t="s">
        <v>72</v>
      </c>
      <c r="I18" s="1">
        <v>4</v>
      </c>
      <c r="N18" s="1"/>
      <c r="O18" s="1"/>
      <c r="P18" s="1"/>
      <c r="Q18">
        <v>0</v>
      </c>
      <c r="R18">
        <v>0</v>
      </c>
      <c r="S18">
        <v>0</v>
      </c>
      <c r="T18">
        <v>0</v>
      </c>
      <c r="U18" t="s">
        <v>73</v>
      </c>
      <c r="V18">
        <v>6</v>
      </c>
      <c r="W18" s="1">
        <v>15</v>
      </c>
      <c r="X18">
        <v>2</v>
      </c>
      <c r="Y18" s="1">
        <v>1</v>
      </c>
      <c r="Z18">
        <v>0</v>
      </c>
      <c r="AA18" s="1">
        <v>0</v>
      </c>
      <c r="AB18" s="1">
        <v>1</v>
      </c>
      <c r="AC18" t="s">
        <v>73</v>
      </c>
      <c r="AD18" s="1">
        <v>3</v>
      </c>
      <c r="AE18" s="1">
        <v>0</v>
      </c>
      <c r="AF18" s="1">
        <v>0</v>
      </c>
      <c r="AG18" s="1">
        <v>0</v>
      </c>
      <c r="AH18">
        <v>0</v>
      </c>
      <c r="AI18" s="1">
        <v>50</v>
      </c>
      <c r="AJ18" s="1">
        <v>10</v>
      </c>
      <c r="AK18" s="1" t="s">
        <v>73</v>
      </c>
      <c r="AL18" s="1" t="s">
        <v>73</v>
      </c>
      <c r="AM18" s="63" t="s">
        <v>434</v>
      </c>
      <c r="AN18" s="1">
        <v>2117</v>
      </c>
      <c r="AO18" s="84">
        <v>46013.674212962964</v>
      </c>
      <c r="AP18" s="56">
        <v>46020.812604166669</v>
      </c>
      <c r="AQ18" s="1" t="s">
        <v>73</v>
      </c>
      <c r="AR18" s="1" t="s">
        <v>73</v>
      </c>
      <c r="AS18" s="1" t="s">
        <v>73</v>
      </c>
      <c r="AT18" s="1" t="s">
        <v>73</v>
      </c>
      <c r="AU18" s="1" t="s">
        <v>73</v>
      </c>
      <c r="AV18" s="1" t="s">
        <v>73</v>
      </c>
      <c r="AW18" s="1">
        <v>0</v>
      </c>
      <c r="AX18" t="s">
        <v>75</v>
      </c>
      <c r="AY18" s="1" t="s">
        <v>335</v>
      </c>
      <c r="AZ18" s="1" t="s">
        <v>336</v>
      </c>
      <c r="BA18" s="1" t="s">
        <v>337</v>
      </c>
      <c r="BB18" s="1"/>
      <c r="BD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4"/>
      <c r="CH18" s="4"/>
      <c r="CI18" s="1"/>
      <c r="CJ18" s="1"/>
      <c r="CK18" s="1"/>
      <c r="CL18" s="1"/>
      <c r="CM18" s="42"/>
      <c r="CN18" s="1"/>
      <c r="CO18" s="1"/>
      <c r="CT18"/>
      <c r="CU18"/>
      <c r="CV18"/>
      <c r="CW18"/>
      <c r="CX18"/>
      <c r="CY18"/>
      <c r="CZ18"/>
      <c r="DA18"/>
      <c r="DB18"/>
      <c r="DC18"/>
      <c r="DD18"/>
      <c r="DE18"/>
      <c r="DF18"/>
      <c r="DO18"/>
      <c r="DP18"/>
      <c r="DQ18"/>
      <c r="DR18"/>
      <c r="DS18"/>
      <c r="DT18"/>
      <c r="DU18"/>
      <c r="DV18"/>
      <c r="DW18"/>
      <c r="DX18"/>
      <c r="DY18"/>
      <c r="DZ18"/>
      <c r="EA18"/>
      <c r="EB18"/>
      <c r="EC18"/>
      <c r="ED18"/>
      <c r="EE18"/>
      <c r="EF18"/>
      <c r="EG18"/>
      <c r="EH18"/>
      <c r="EI18"/>
      <c r="FA18"/>
      <c r="FB18"/>
      <c r="FC18"/>
      <c r="FD18"/>
      <c r="FE18"/>
      <c r="FF18"/>
      <c r="FG18"/>
      <c r="FH18"/>
    </row>
    <row r="19" spans="1:164" ht="16" x14ac:dyDescent="0.2">
      <c r="A19" t="s">
        <v>185</v>
      </c>
      <c r="B19" s="125" t="s">
        <v>345</v>
      </c>
      <c r="C19" t="s">
        <v>346</v>
      </c>
      <c r="D19" s="1" t="s">
        <v>72</v>
      </c>
      <c r="E19" t="s">
        <v>72</v>
      </c>
      <c r="F19" t="s">
        <v>72</v>
      </c>
      <c r="G19" s="1" t="s">
        <v>73</v>
      </c>
      <c r="H19" s="1"/>
      <c r="I19" s="1">
        <v>11</v>
      </c>
      <c r="J19">
        <v>4</v>
      </c>
      <c r="L19">
        <v>9</v>
      </c>
      <c r="N19" s="1">
        <v>11</v>
      </c>
      <c r="O19" s="1">
        <v>4</v>
      </c>
      <c r="P19" s="1"/>
      <c r="Q19">
        <v>5</v>
      </c>
      <c r="R19">
        <v>0</v>
      </c>
      <c r="S19">
        <v>4</v>
      </c>
      <c r="T19">
        <v>1</v>
      </c>
      <c r="U19" t="s">
        <v>73</v>
      </c>
      <c r="V19">
        <v>0</v>
      </c>
      <c r="W19" s="1">
        <v>0</v>
      </c>
      <c r="X19">
        <v>3</v>
      </c>
      <c r="Y19" s="1">
        <v>3</v>
      </c>
      <c r="Z19">
        <v>0</v>
      </c>
      <c r="AA19" s="1">
        <v>0</v>
      </c>
      <c r="AB19" s="1">
        <v>0</v>
      </c>
      <c r="AC19" t="s">
        <v>72</v>
      </c>
      <c r="AD19" s="1">
        <v>6</v>
      </c>
      <c r="AE19" s="1">
        <v>6</v>
      </c>
      <c r="AF19" s="1">
        <v>2</v>
      </c>
      <c r="AG19" s="1">
        <v>0</v>
      </c>
      <c r="AH19">
        <v>2</v>
      </c>
      <c r="AI19" s="1">
        <v>125</v>
      </c>
      <c r="AJ19" s="1">
        <v>20</v>
      </c>
      <c r="AK19" s="1" t="s">
        <v>72</v>
      </c>
      <c r="AL19" s="1" t="s">
        <v>72</v>
      </c>
      <c r="AM19" s="63" t="s">
        <v>73</v>
      </c>
      <c r="AN19" s="1">
        <v>2112</v>
      </c>
      <c r="AO19" s="84">
        <v>46013.482916666668</v>
      </c>
      <c r="AP19" s="56">
        <v>46013.441250000003</v>
      </c>
      <c r="AQ19" s="1" t="s">
        <v>73</v>
      </c>
      <c r="AR19" s="1" t="s">
        <v>73</v>
      </c>
      <c r="AS19" s="1" t="s">
        <v>73</v>
      </c>
      <c r="AT19" s="1" t="s">
        <v>73</v>
      </c>
      <c r="AU19" s="1" t="s">
        <v>73</v>
      </c>
      <c r="AV19" s="1" t="s">
        <v>73</v>
      </c>
      <c r="AW19" s="1">
        <v>0</v>
      </c>
      <c r="AX19" t="s">
        <v>73</v>
      </c>
      <c r="AY19" s="1" t="s">
        <v>158</v>
      </c>
      <c r="AZ19" s="1" t="s">
        <v>158</v>
      </c>
      <c r="BA19" s="1" t="s">
        <v>158</v>
      </c>
      <c r="BB19" s="1"/>
      <c r="BD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4"/>
      <c r="CH19" s="4"/>
      <c r="CI19" s="1"/>
      <c r="CJ19" s="1"/>
      <c r="CK19" s="1"/>
      <c r="CL19" s="1"/>
      <c r="CM19" s="42"/>
      <c r="CN19" s="1"/>
      <c r="CO19" s="1"/>
      <c r="CT19"/>
      <c r="CU19"/>
      <c r="CV19"/>
      <c r="CW19"/>
      <c r="CX19"/>
      <c r="CY19"/>
      <c r="CZ19"/>
      <c r="DA19"/>
      <c r="DB19"/>
      <c r="DC19"/>
      <c r="DD19"/>
      <c r="DE19"/>
      <c r="DF19"/>
      <c r="DO19"/>
      <c r="DP19"/>
      <c r="DQ19"/>
      <c r="DR19"/>
      <c r="DS19"/>
      <c r="DT19"/>
      <c r="DU19"/>
      <c r="DV19"/>
      <c r="DW19"/>
      <c r="DX19"/>
      <c r="DY19"/>
      <c r="DZ19"/>
      <c r="EA19"/>
      <c r="EB19"/>
      <c r="EC19"/>
      <c r="ED19"/>
      <c r="EE19"/>
      <c r="EF19"/>
      <c r="EG19"/>
      <c r="EH19"/>
      <c r="EI19"/>
      <c r="FA19"/>
      <c r="FB19"/>
      <c r="FC19"/>
      <c r="FD19"/>
      <c r="FE19"/>
      <c r="FF19"/>
      <c r="FG19"/>
      <c r="FH19"/>
    </row>
    <row r="20" spans="1:164" ht="16" x14ac:dyDescent="0.2">
      <c r="A20" t="s">
        <v>185</v>
      </c>
      <c r="B20" s="125" t="s">
        <v>341</v>
      </c>
      <c r="C20" t="s">
        <v>342</v>
      </c>
      <c r="D20" s="1" t="s">
        <v>73</v>
      </c>
      <c r="E20" t="s">
        <v>72</v>
      </c>
      <c r="F20" t="s">
        <v>72</v>
      </c>
      <c r="G20" s="1" t="s">
        <v>73</v>
      </c>
      <c r="H20" s="1"/>
      <c r="I20" s="1">
        <v>6</v>
      </c>
      <c r="N20" s="1">
        <v>4</v>
      </c>
      <c r="O20" s="1"/>
      <c r="P20" s="1"/>
      <c r="Q20">
        <v>4</v>
      </c>
      <c r="R20">
        <v>3</v>
      </c>
      <c r="S20">
        <v>1</v>
      </c>
      <c r="T20">
        <v>0</v>
      </c>
      <c r="U20" t="s">
        <v>72</v>
      </c>
      <c r="V20">
        <v>0</v>
      </c>
      <c r="W20" s="1">
        <v>0</v>
      </c>
      <c r="X20">
        <v>0</v>
      </c>
      <c r="Y20" s="1">
        <v>0</v>
      </c>
      <c r="Z20">
        <v>0</v>
      </c>
      <c r="AA20" s="1">
        <v>0</v>
      </c>
      <c r="AB20" s="1">
        <v>0</v>
      </c>
      <c r="AC20" t="s">
        <v>72</v>
      </c>
      <c r="AD20" s="1">
        <v>0</v>
      </c>
      <c r="AE20" s="1">
        <v>0</v>
      </c>
      <c r="AF20" s="1">
        <v>0</v>
      </c>
      <c r="AG20" s="1">
        <v>0</v>
      </c>
      <c r="AH20">
        <v>0</v>
      </c>
      <c r="AI20" s="1">
        <v>35</v>
      </c>
      <c r="AJ20" s="1">
        <v>4</v>
      </c>
      <c r="AK20" s="1" t="s">
        <v>73</v>
      </c>
      <c r="AL20" s="1" t="s">
        <v>73</v>
      </c>
      <c r="AM20" s="63" t="s">
        <v>73</v>
      </c>
      <c r="AN20" s="1">
        <v>2111</v>
      </c>
      <c r="AO20" s="84">
        <v>46013.476944444446</v>
      </c>
      <c r="AP20" s="56">
        <v>46013.435277777775</v>
      </c>
      <c r="AQ20" s="1" t="s">
        <v>342</v>
      </c>
      <c r="AR20" s="1" t="s">
        <v>351</v>
      </c>
      <c r="AS20" s="1" t="s">
        <v>76</v>
      </c>
      <c r="AT20" s="1" t="s">
        <v>352</v>
      </c>
      <c r="AU20" s="1" t="s">
        <v>353</v>
      </c>
      <c r="AV20" s="1" t="s">
        <v>354</v>
      </c>
      <c r="AW20" s="1">
        <v>20</v>
      </c>
      <c r="AX20" t="s">
        <v>73</v>
      </c>
      <c r="AY20" s="1" t="s">
        <v>158</v>
      </c>
      <c r="AZ20" s="1" t="s">
        <v>158</v>
      </c>
      <c r="BA20" s="1" t="s">
        <v>158</v>
      </c>
      <c r="BB20" s="1"/>
      <c r="BD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4"/>
      <c r="CH20" s="4"/>
      <c r="CI20" s="1"/>
      <c r="CJ20" s="1"/>
      <c r="CK20" s="1"/>
      <c r="CL20" s="1"/>
      <c r="CM20" s="42"/>
      <c r="CN20" s="1"/>
      <c r="CO20" s="1"/>
      <c r="CT20"/>
      <c r="CU20"/>
      <c r="CV20"/>
      <c r="CW20"/>
      <c r="CX20"/>
      <c r="CY20"/>
      <c r="CZ20"/>
      <c r="DA20"/>
      <c r="DB20"/>
      <c r="DC20"/>
      <c r="DD20"/>
      <c r="DE20"/>
      <c r="DF20"/>
      <c r="DO20"/>
      <c r="DP20"/>
      <c r="DQ20"/>
      <c r="DR20"/>
      <c r="DS20"/>
      <c r="DT20"/>
      <c r="DU20"/>
      <c r="DV20"/>
      <c r="DW20"/>
      <c r="DX20"/>
      <c r="DY20"/>
      <c r="DZ20"/>
      <c r="EA20"/>
      <c r="EB20"/>
      <c r="EC20"/>
      <c r="ED20"/>
      <c r="EE20"/>
      <c r="EF20"/>
      <c r="EG20"/>
      <c r="EH20"/>
      <c r="EI20"/>
      <c r="FA20"/>
      <c r="FB20"/>
      <c r="FC20"/>
      <c r="FD20"/>
      <c r="FE20"/>
      <c r="FF20"/>
      <c r="FG20"/>
      <c r="FH20"/>
    </row>
    <row r="21" spans="1:164" ht="32" x14ac:dyDescent="0.2">
      <c r="A21" t="s">
        <v>185</v>
      </c>
      <c r="B21" s="125" t="s">
        <v>324</v>
      </c>
      <c r="C21" t="s">
        <v>325</v>
      </c>
      <c r="D21" s="1" t="s">
        <v>73</v>
      </c>
      <c r="E21" t="s">
        <v>72</v>
      </c>
      <c r="F21" t="s">
        <v>72</v>
      </c>
      <c r="G21" s="1" t="s">
        <v>73</v>
      </c>
      <c r="H21" s="1"/>
      <c r="I21" s="1">
        <v>6</v>
      </c>
      <c r="N21" s="1"/>
      <c r="O21" s="1"/>
      <c r="P21" s="1"/>
      <c r="Q21">
        <v>3</v>
      </c>
      <c r="R21">
        <v>2</v>
      </c>
      <c r="S21">
        <v>1</v>
      </c>
      <c r="T21">
        <v>0</v>
      </c>
      <c r="U21" t="s">
        <v>72</v>
      </c>
      <c r="V21">
        <v>0</v>
      </c>
      <c r="W21" s="1">
        <v>0</v>
      </c>
      <c r="X21">
        <v>0</v>
      </c>
      <c r="Y21" s="1">
        <v>0</v>
      </c>
      <c r="Z21">
        <v>0</v>
      </c>
      <c r="AA21" s="1">
        <v>0</v>
      </c>
      <c r="AB21" s="1">
        <v>0</v>
      </c>
      <c r="AC21" t="s">
        <v>72</v>
      </c>
      <c r="AD21" s="1">
        <v>6</v>
      </c>
      <c r="AE21" s="1">
        <v>6</v>
      </c>
      <c r="AF21" s="1">
        <v>0</v>
      </c>
      <c r="AG21" s="1">
        <v>6</v>
      </c>
      <c r="AH21">
        <v>0</v>
      </c>
      <c r="AI21" s="1">
        <v>55</v>
      </c>
      <c r="AJ21" s="1">
        <v>1</v>
      </c>
      <c r="AK21" s="1" t="s">
        <v>73</v>
      </c>
      <c r="AL21" s="1" t="s">
        <v>73</v>
      </c>
      <c r="AM21" s="63" t="s">
        <v>326</v>
      </c>
      <c r="AN21" s="1">
        <v>2104</v>
      </c>
      <c r="AO21" s="84">
        <v>46011.819953703707</v>
      </c>
      <c r="AP21" s="56">
        <v>46011.778287037036</v>
      </c>
      <c r="AQ21" s="1" t="s">
        <v>325</v>
      </c>
      <c r="AR21" s="1" t="s">
        <v>78</v>
      </c>
      <c r="AS21" s="1" t="s">
        <v>179</v>
      </c>
      <c r="AT21" s="1" t="s">
        <v>77</v>
      </c>
      <c r="AU21" s="1" t="s">
        <v>328</v>
      </c>
      <c r="AV21" s="1" t="s">
        <v>329</v>
      </c>
      <c r="AW21" s="1">
        <v>35</v>
      </c>
      <c r="AX21" t="s">
        <v>73</v>
      </c>
      <c r="AY21" s="1" t="s">
        <v>158</v>
      </c>
      <c r="AZ21" s="1" t="s">
        <v>158</v>
      </c>
      <c r="BA21" s="1" t="s">
        <v>158</v>
      </c>
      <c r="BB21" s="1"/>
      <c r="BD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4"/>
      <c r="CH21" s="4"/>
      <c r="CI21" s="1"/>
      <c r="CJ21" s="1"/>
      <c r="CK21" s="1"/>
      <c r="CL21" s="1"/>
      <c r="CM21" s="42"/>
      <c r="CN21" s="1"/>
      <c r="CO21" s="1"/>
      <c r="CT21"/>
      <c r="CU21"/>
      <c r="CV21"/>
      <c r="CW21"/>
      <c r="CX21"/>
      <c r="CY21"/>
      <c r="CZ21"/>
      <c r="DA21"/>
      <c r="DB21"/>
      <c r="DC21"/>
      <c r="DD21"/>
      <c r="DE21"/>
      <c r="DF21"/>
      <c r="DO21"/>
      <c r="DP21"/>
      <c r="DQ21"/>
      <c r="DR21"/>
      <c r="DS21"/>
      <c r="DT21"/>
      <c r="DU21"/>
      <c r="DV21"/>
      <c r="DW21"/>
      <c r="DX21"/>
      <c r="DY21"/>
      <c r="DZ21"/>
      <c r="EA21"/>
      <c r="EB21"/>
      <c r="EC21"/>
      <c r="ED21"/>
      <c r="EE21"/>
      <c r="EF21"/>
      <c r="EG21"/>
      <c r="EH21"/>
      <c r="EI21"/>
      <c r="FA21"/>
      <c r="FB21"/>
      <c r="FC21"/>
      <c r="FD21"/>
      <c r="FE21"/>
      <c r="FF21"/>
      <c r="FG21"/>
      <c r="FH21"/>
    </row>
    <row r="22" spans="1:164" ht="16" x14ac:dyDescent="0.2">
      <c r="A22" t="s">
        <v>185</v>
      </c>
      <c r="B22" s="125" t="s">
        <v>318</v>
      </c>
      <c r="C22" t="s">
        <v>319</v>
      </c>
      <c r="D22" s="1" t="s">
        <v>73</v>
      </c>
      <c r="E22" t="s">
        <v>72</v>
      </c>
      <c r="F22" t="s">
        <v>73</v>
      </c>
      <c r="G22" s="1" t="s">
        <v>73</v>
      </c>
      <c r="H22" s="1"/>
      <c r="I22" s="1">
        <v>9</v>
      </c>
      <c r="J22">
        <v>9</v>
      </c>
      <c r="L22">
        <v>5</v>
      </c>
      <c r="N22" s="1"/>
      <c r="O22" s="1"/>
      <c r="P22" s="1"/>
      <c r="Q22">
        <v>0</v>
      </c>
      <c r="R22">
        <v>0</v>
      </c>
      <c r="S22">
        <v>0</v>
      </c>
      <c r="T22">
        <v>0</v>
      </c>
      <c r="U22" t="s">
        <v>73</v>
      </c>
      <c r="V22">
        <v>0</v>
      </c>
      <c r="W22" s="1">
        <v>0</v>
      </c>
      <c r="X22">
        <v>0</v>
      </c>
      <c r="Y22" s="1">
        <v>0</v>
      </c>
      <c r="Z22">
        <v>0</v>
      </c>
      <c r="AA22" s="1">
        <v>0</v>
      </c>
      <c r="AB22" s="1">
        <v>0</v>
      </c>
      <c r="AC22" t="s">
        <v>73</v>
      </c>
      <c r="AD22" s="1">
        <v>6</v>
      </c>
      <c r="AE22" s="1">
        <v>6</v>
      </c>
      <c r="AF22" s="1">
        <v>0</v>
      </c>
      <c r="AG22" s="1">
        <v>6</v>
      </c>
      <c r="AH22">
        <v>2</v>
      </c>
      <c r="AI22" s="1">
        <v>75</v>
      </c>
      <c r="AJ22" s="1">
        <v>20</v>
      </c>
      <c r="AK22" s="1" t="s">
        <v>73</v>
      </c>
      <c r="AL22" s="1" t="s">
        <v>72</v>
      </c>
      <c r="AM22" s="63" t="s">
        <v>73</v>
      </c>
      <c r="AN22" s="1">
        <v>2101</v>
      </c>
      <c r="AO22" s="84">
        <v>46011.599976851852</v>
      </c>
      <c r="AP22" s="56">
        <v>46011.558310185188</v>
      </c>
      <c r="AQ22" s="1" t="s">
        <v>73</v>
      </c>
      <c r="AR22" s="1" t="s">
        <v>73</v>
      </c>
      <c r="AS22" s="1" t="s">
        <v>73</v>
      </c>
      <c r="AT22" s="1" t="s">
        <v>73</v>
      </c>
      <c r="AU22" s="1" t="s">
        <v>73</v>
      </c>
      <c r="AV22" s="1" t="s">
        <v>73</v>
      </c>
      <c r="AW22" s="1">
        <v>0</v>
      </c>
      <c r="AX22" t="s">
        <v>73</v>
      </c>
      <c r="AY22" s="1" t="s">
        <v>158</v>
      </c>
      <c r="AZ22" s="1" t="s">
        <v>158</v>
      </c>
      <c r="BA22" s="1" t="s">
        <v>158</v>
      </c>
      <c r="BB22" s="1"/>
      <c r="BD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4"/>
      <c r="CH22" s="4"/>
      <c r="CI22" s="1"/>
      <c r="CJ22" s="1"/>
      <c r="CK22" s="1"/>
      <c r="CL22" s="1"/>
      <c r="CM22" s="42"/>
      <c r="CN22" s="1"/>
      <c r="CO22" s="1"/>
      <c r="CT22"/>
      <c r="CU22"/>
      <c r="CV22"/>
      <c r="CW22"/>
      <c r="CX22"/>
      <c r="CY22"/>
      <c r="CZ22"/>
      <c r="DA22"/>
      <c r="DB22"/>
      <c r="DC22"/>
      <c r="DD22"/>
      <c r="DE22"/>
      <c r="DF22"/>
      <c r="DO22"/>
      <c r="DP22"/>
      <c r="DQ22"/>
      <c r="DR22"/>
      <c r="DS22"/>
      <c r="DT22"/>
      <c r="DU22"/>
      <c r="DV22"/>
      <c r="DW22"/>
      <c r="DX22"/>
      <c r="DY22"/>
      <c r="DZ22"/>
      <c r="EA22"/>
      <c r="EB22"/>
      <c r="EC22"/>
      <c r="ED22"/>
      <c r="EE22"/>
      <c r="EF22"/>
      <c r="EG22"/>
      <c r="EH22"/>
      <c r="EI22"/>
      <c r="FA22"/>
      <c r="FB22"/>
      <c r="FC22"/>
      <c r="FD22"/>
      <c r="FE22"/>
      <c r="FF22"/>
      <c r="FG22"/>
      <c r="FH22"/>
    </row>
    <row r="23" spans="1:164" ht="16" x14ac:dyDescent="0.2">
      <c r="A23" t="s">
        <v>185</v>
      </c>
      <c r="B23" s="125" t="s">
        <v>303</v>
      </c>
      <c r="C23" t="s">
        <v>304</v>
      </c>
      <c r="D23" s="1" t="s">
        <v>72</v>
      </c>
      <c r="E23" t="s">
        <v>72</v>
      </c>
      <c r="F23" t="s">
        <v>72</v>
      </c>
      <c r="G23" s="1" t="s">
        <v>73</v>
      </c>
      <c r="H23" s="1"/>
      <c r="I23" s="1">
        <v>10</v>
      </c>
      <c r="N23" s="1"/>
      <c r="O23" s="1"/>
      <c r="P23" s="1"/>
      <c r="Q23">
        <v>0</v>
      </c>
      <c r="R23">
        <v>0</v>
      </c>
      <c r="S23">
        <v>0</v>
      </c>
      <c r="T23">
        <v>0</v>
      </c>
      <c r="U23" t="s">
        <v>73</v>
      </c>
      <c r="V23">
        <v>0</v>
      </c>
      <c r="W23" s="1">
        <v>0</v>
      </c>
      <c r="X23">
        <v>5</v>
      </c>
      <c r="Y23" s="1">
        <v>5</v>
      </c>
      <c r="Z23">
        <v>0</v>
      </c>
      <c r="AA23" s="1">
        <v>0</v>
      </c>
      <c r="AB23" s="1">
        <v>0</v>
      </c>
      <c r="AC23" t="s">
        <v>72</v>
      </c>
      <c r="AD23" s="1">
        <v>4</v>
      </c>
      <c r="AE23" s="1">
        <v>0</v>
      </c>
      <c r="AF23" s="1">
        <v>0</v>
      </c>
      <c r="AG23" s="1">
        <v>0</v>
      </c>
      <c r="AH23">
        <v>0</v>
      </c>
      <c r="AI23" s="1">
        <v>65</v>
      </c>
      <c r="AJ23" s="1">
        <v>2</v>
      </c>
      <c r="AK23" s="1" t="s">
        <v>72</v>
      </c>
      <c r="AL23" s="1" t="s">
        <v>73</v>
      </c>
      <c r="AM23" s="63" t="s">
        <v>73</v>
      </c>
      <c r="AN23" s="1">
        <v>2094</v>
      </c>
      <c r="AO23" s="84">
        <v>46011.050937499997</v>
      </c>
      <c r="AP23" s="56">
        <v>46011.009270833332</v>
      </c>
      <c r="AQ23" s="1" t="s">
        <v>73</v>
      </c>
      <c r="AR23" s="1" t="s">
        <v>73</v>
      </c>
      <c r="AS23" s="1" t="s">
        <v>73</v>
      </c>
      <c r="AT23" s="1" t="s">
        <v>73</v>
      </c>
      <c r="AU23" s="1" t="s">
        <v>73</v>
      </c>
      <c r="AV23" s="1" t="s">
        <v>73</v>
      </c>
      <c r="AW23" s="1">
        <v>0</v>
      </c>
      <c r="AX23" t="s">
        <v>73</v>
      </c>
      <c r="AY23" s="1" t="s">
        <v>158</v>
      </c>
      <c r="AZ23" s="1" t="s">
        <v>158</v>
      </c>
      <c r="BA23" s="1" t="s">
        <v>158</v>
      </c>
      <c r="BB23" s="1"/>
      <c r="BD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4"/>
      <c r="CH23" s="4"/>
      <c r="CI23" s="1"/>
      <c r="CJ23" s="1"/>
      <c r="CK23" s="1"/>
      <c r="CL23" s="1"/>
      <c r="CM23" s="42"/>
      <c r="CN23" s="1"/>
      <c r="CO23" s="1"/>
      <c r="CT23"/>
      <c r="CU23"/>
      <c r="CV23"/>
      <c r="CW23"/>
      <c r="CX23"/>
      <c r="CY23"/>
      <c r="CZ23"/>
      <c r="DA23"/>
      <c r="DB23"/>
      <c r="DC23"/>
      <c r="DD23"/>
      <c r="DE23"/>
      <c r="DF23"/>
      <c r="DO23"/>
      <c r="DP23"/>
      <c r="DQ23"/>
      <c r="DR23"/>
      <c r="DS23"/>
      <c r="DT23"/>
      <c r="DU23"/>
      <c r="DV23"/>
      <c r="DW23"/>
      <c r="DX23"/>
      <c r="DY23"/>
      <c r="DZ23"/>
      <c r="EA23"/>
      <c r="EB23"/>
      <c r="EC23"/>
      <c r="ED23"/>
      <c r="EE23"/>
      <c r="EF23"/>
      <c r="EG23"/>
      <c r="EH23"/>
      <c r="EI23"/>
      <c r="FA23"/>
      <c r="FB23"/>
      <c r="FC23"/>
      <c r="FD23"/>
      <c r="FE23"/>
      <c r="FF23"/>
      <c r="FG23"/>
      <c r="FH23"/>
    </row>
    <row r="24" spans="1:164" ht="16" x14ac:dyDescent="0.2">
      <c r="A24" t="s">
        <v>185</v>
      </c>
      <c r="B24" s="125" t="s">
        <v>298</v>
      </c>
      <c r="C24" t="s">
        <v>299</v>
      </c>
      <c r="D24" s="1" t="s">
        <v>73</v>
      </c>
      <c r="E24" t="s">
        <v>72</v>
      </c>
      <c r="F24" t="s">
        <v>72</v>
      </c>
      <c r="G24" s="1" t="s">
        <v>73</v>
      </c>
      <c r="H24" s="1"/>
      <c r="I24" s="1">
        <v>5</v>
      </c>
      <c r="L24">
        <v>1</v>
      </c>
      <c r="N24" s="1"/>
      <c r="O24" s="1"/>
      <c r="P24" s="1"/>
      <c r="Q24">
        <v>0</v>
      </c>
      <c r="R24">
        <v>0</v>
      </c>
      <c r="S24">
        <v>0</v>
      </c>
      <c r="T24">
        <v>0</v>
      </c>
      <c r="U24" t="s">
        <v>73</v>
      </c>
      <c r="V24">
        <v>0</v>
      </c>
      <c r="W24" s="1">
        <v>0</v>
      </c>
      <c r="X24">
        <v>0</v>
      </c>
      <c r="Y24" s="1">
        <v>0</v>
      </c>
      <c r="Z24">
        <v>0</v>
      </c>
      <c r="AA24" s="1">
        <v>0</v>
      </c>
      <c r="AB24" s="1">
        <v>0</v>
      </c>
      <c r="AC24" t="s">
        <v>73</v>
      </c>
      <c r="AD24" s="1">
        <v>6</v>
      </c>
      <c r="AE24" s="1">
        <v>6</v>
      </c>
      <c r="AF24" s="1">
        <v>6</v>
      </c>
      <c r="AG24" s="1">
        <v>6</v>
      </c>
      <c r="AH24">
        <v>0</v>
      </c>
      <c r="AI24" s="1">
        <v>70</v>
      </c>
      <c r="AJ24" s="1">
        <v>10</v>
      </c>
      <c r="AK24" s="1" t="s">
        <v>73</v>
      </c>
      <c r="AL24" s="1" t="s">
        <v>73</v>
      </c>
      <c r="AM24" s="63" t="s">
        <v>73</v>
      </c>
      <c r="AN24" s="1">
        <v>2090</v>
      </c>
      <c r="AO24" s="84">
        <v>46008.493437500001</v>
      </c>
      <c r="AP24" s="56">
        <v>46008.451770833337</v>
      </c>
      <c r="AQ24" s="1" t="s">
        <v>73</v>
      </c>
      <c r="AR24" s="1" t="s">
        <v>73</v>
      </c>
      <c r="AS24" s="1" t="s">
        <v>73</v>
      </c>
      <c r="AT24" s="1" t="s">
        <v>73</v>
      </c>
      <c r="AU24" s="1" t="s">
        <v>73</v>
      </c>
      <c r="AV24" s="1" t="s">
        <v>73</v>
      </c>
      <c r="AW24" s="1">
        <v>0</v>
      </c>
      <c r="AX24" t="s">
        <v>73</v>
      </c>
      <c r="AY24" s="1" t="s">
        <v>158</v>
      </c>
      <c r="AZ24" s="1" t="s">
        <v>158</v>
      </c>
      <c r="BA24" s="1" t="s">
        <v>158</v>
      </c>
      <c r="BB24" s="1"/>
      <c r="BD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4"/>
      <c r="CH24" s="4"/>
      <c r="CI24" s="1"/>
      <c r="CJ24" s="1"/>
      <c r="CK24" s="1"/>
      <c r="CL24" s="1"/>
      <c r="CM24" s="42"/>
      <c r="CN24" s="1"/>
      <c r="CO24" s="1"/>
      <c r="CT24"/>
      <c r="CU24"/>
      <c r="CV24"/>
      <c r="CW24"/>
      <c r="CX24"/>
      <c r="CY24"/>
      <c r="CZ24"/>
      <c r="DA24"/>
      <c r="DB24"/>
      <c r="DC24"/>
      <c r="DD24"/>
      <c r="DE24"/>
      <c r="DF24"/>
      <c r="DO24"/>
      <c r="DP24"/>
      <c r="DQ24"/>
      <c r="DR24"/>
      <c r="DS24"/>
      <c r="DT24"/>
      <c r="DU24"/>
      <c r="DV24"/>
      <c r="DW24"/>
      <c r="DX24"/>
      <c r="DY24"/>
      <c r="DZ24"/>
      <c r="EA24"/>
      <c r="EB24"/>
      <c r="EC24"/>
      <c r="ED24"/>
      <c r="EE24"/>
      <c r="EF24"/>
      <c r="EG24"/>
      <c r="EH24"/>
      <c r="EI24"/>
      <c r="FA24"/>
      <c r="FB24"/>
      <c r="FC24"/>
      <c r="FD24"/>
      <c r="FE24"/>
      <c r="FF24"/>
      <c r="FG24"/>
      <c r="FH24"/>
    </row>
    <row r="25" spans="1:164" ht="16" x14ac:dyDescent="0.2">
      <c r="A25" t="s">
        <v>185</v>
      </c>
      <c r="B25" s="125" t="s">
        <v>295</v>
      </c>
      <c r="C25" t="s">
        <v>296</v>
      </c>
      <c r="D25" s="1" t="s">
        <v>73</v>
      </c>
      <c r="E25" t="s">
        <v>72</v>
      </c>
      <c r="F25" t="s">
        <v>72</v>
      </c>
      <c r="G25" s="1" t="s">
        <v>73</v>
      </c>
      <c r="H25" s="1"/>
      <c r="I25" s="1">
        <v>5</v>
      </c>
      <c r="N25" s="1"/>
      <c r="O25" s="1"/>
      <c r="P25" s="1"/>
      <c r="Q25">
        <v>0</v>
      </c>
      <c r="R25">
        <v>0</v>
      </c>
      <c r="S25">
        <v>0</v>
      </c>
      <c r="T25">
        <v>0</v>
      </c>
      <c r="U25" t="s">
        <v>73</v>
      </c>
      <c r="V25">
        <v>0</v>
      </c>
      <c r="W25" s="1">
        <v>0</v>
      </c>
      <c r="X25">
        <v>0</v>
      </c>
      <c r="Y25" s="1">
        <v>0</v>
      </c>
      <c r="Z25">
        <v>0</v>
      </c>
      <c r="AA25" s="1">
        <v>0</v>
      </c>
      <c r="AB25" s="1">
        <v>0</v>
      </c>
      <c r="AC25" t="s">
        <v>73</v>
      </c>
      <c r="AD25" s="1">
        <v>0</v>
      </c>
      <c r="AE25" s="1">
        <v>0</v>
      </c>
      <c r="AF25" s="1">
        <v>0</v>
      </c>
      <c r="AG25" s="1">
        <v>0</v>
      </c>
      <c r="AH25">
        <v>0</v>
      </c>
      <c r="AI25" s="1">
        <v>25</v>
      </c>
      <c r="AJ25" s="1">
        <v>10</v>
      </c>
      <c r="AK25" s="1" t="s">
        <v>73</v>
      </c>
      <c r="AL25" s="1" t="s">
        <v>73</v>
      </c>
      <c r="AM25" s="63" t="s">
        <v>301</v>
      </c>
      <c r="AN25" s="1">
        <v>2088</v>
      </c>
      <c r="AO25" s="84">
        <v>46007.962175925924</v>
      </c>
      <c r="AP25" s="56">
        <v>46007.92050925926</v>
      </c>
      <c r="AQ25" s="1" t="s">
        <v>73</v>
      </c>
      <c r="AR25" s="1" t="s">
        <v>73</v>
      </c>
      <c r="AS25" s="1" t="s">
        <v>73</v>
      </c>
      <c r="AT25" s="1" t="s">
        <v>73</v>
      </c>
      <c r="AU25" s="1" t="s">
        <v>73</v>
      </c>
      <c r="AV25" s="1" t="s">
        <v>73</v>
      </c>
      <c r="AW25" s="1">
        <v>0</v>
      </c>
      <c r="AX25" t="s">
        <v>73</v>
      </c>
      <c r="AY25" s="1" t="s">
        <v>158</v>
      </c>
      <c r="AZ25" s="1" t="s">
        <v>158</v>
      </c>
      <c r="BA25" s="1" t="s">
        <v>158</v>
      </c>
      <c r="BB25" s="1"/>
      <c r="BD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4"/>
      <c r="CH25" s="4"/>
      <c r="CI25" s="1"/>
      <c r="CJ25" s="1"/>
      <c r="CK25" s="1"/>
      <c r="CL25" s="1"/>
      <c r="CM25" s="42"/>
      <c r="CN25" s="1"/>
      <c r="CO25" s="1"/>
      <c r="CT25"/>
      <c r="CU25"/>
      <c r="CV25"/>
      <c r="CW25"/>
      <c r="CX25"/>
      <c r="CY25"/>
      <c r="CZ25"/>
      <c r="DA25"/>
      <c r="DB25"/>
      <c r="DC25"/>
      <c r="DD25"/>
      <c r="DE25"/>
      <c r="DF25"/>
      <c r="DO25"/>
      <c r="DP25"/>
      <c r="DQ25"/>
      <c r="DR25"/>
      <c r="DS25"/>
      <c r="DT25"/>
      <c r="DU25"/>
      <c r="DV25"/>
      <c r="DW25"/>
      <c r="DX25"/>
      <c r="DY25"/>
      <c r="DZ25"/>
      <c r="EA25"/>
      <c r="EB25"/>
      <c r="EC25"/>
      <c r="ED25"/>
      <c r="EE25"/>
      <c r="EF25"/>
      <c r="EG25"/>
      <c r="EH25"/>
      <c r="EI25"/>
      <c r="FA25"/>
      <c r="FB25"/>
      <c r="FC25"/>
      <c r="FD25"/>
      <c r="FE25"/>
      <c r="FF25"/>
      <c r="FG25"/>
      <c r="FH25"/>
    </row>
    <row r="26" spans="1:164" ht="16" x14ac:dyDescent="0.2">
      <c r="A26" t="s">
        <v>185</v>
      </c>
      <c r="B26" s="125" t="s">
        <v>260</v>
      </c>
      <c r="C26" t="s">
        <v>282</v>
      </c>
      <c r="D26" s="1" t="s">
        <v>73</v>
      </c>
      <c r="E26" t="s">
        <v>72</v>
      </c>
      <c r="F26" t="s">
        <v>72</v>
      </c>
      <c r="G26" s="1" t="s">
        <v>262</v>
      </c>
      <c r="H26" s="1"/>
      <c r="I26" s="1">
        <v>5</v>
      </c>
      <c r="J26">
        <v>6</v>
      </c>
      <c r="N26" s="1"/>
      <c r="O26" s="1"/>
      <c r="P26" s="1"/>
      <c r="Q26">
        <v>0</v>
      </c>
      <c r="R26">
        <v>0</v>
      </c>
      <c r="S26">
        <v>0</v>
      </c>
      <c r="T26">
        <v>0</v>
      </c>
      <c r="U26" t="s">
        <v>73</v>
      </c>
      <c r="V26">
        <v>3</v>
      </c>
      <c r="W26" s="1">
        <v>18</v>
      </c>
      <c r="X26">
        <v>3</v>
      </c>
      <c r="Y26" s="1">
        <v>3</v>
      </c>
      <c r="Z26">
        <v>0</v>
      </c>
      <c r="AA26" s="1">
        <v>0</v>
      </c>
      <c r="AB26" s="1">
        <v>0</v>
      </c>
      <c r="AC26" t="s">
        <v>72</v>
      </c>
      <c r="AD26" s="1">
        <v>6</v>
      </c>
      <c r="AE26" s="1">
        <v>6</v>
      </c>
      <c r="AF26" s="1">
        <v>0</v>
      </c>
      <c r="AG26" s="1">
        <v>0</v>
      </c>
      <c r="AH26">
        <v>1</v>
      </c>
      <c r="AI26" s="1">
        <v>120</v>
      </c>
      <c r="AJ26" s="1">
        <v>30</v>
      </c>
      <c r="AK26" s="1" t="s">
        <v>72</v>
      </c>
      <c r="AL26" s="1" t="s">
        <v>73</v>
      </c>
      <c r="AM26" s="63" t="s">
        <v>73</v>
      </c>
      <c r="AN26" s="1">
        <v>2085</v>
      </c>
      <c r="AO26" s="84">
        <v>46006.750601851854</v>
      </c>
      <c r="AP26" s="56">
        <v>46006.720810185187</v>
      </c>
      <c r="AQ26" s="1" t="s">
        <v>73</v>
      </c>
      <c r="AR26" s="1" t="s">
        <v>73</v>
      </c>
      <c r="AS26" s="1" t="s">
        <v>73</v>
      </c>
      <c r="AT26" s="1" t="s">
        <v>73</v>
      </c>
      <c r="AU26" s="1" t="s">
        <v>73</v>
      </c>
      <c r="AV26" s="1" t="s">
        <v>73</v>
      </c>
      <c r="AW26" s="1">
        <v>0</v>
      </c>
      <c r="AX26" t="s">
        <v>75</v>
      </c>
      <c r="AY26" s="1" t="s">
        <v>264</v>
      </c>
      <c r="AZ26" s="1" t="s">
        <v>265</v>
      </c>
      <c r="BA26" s="1" t="s">
        <v>266</v>
      </c>
      <c r="BB26" s="1"/>
      <c r="BD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4"/>
      <c r="CH26" s="4"/>
      <c r="CI26" s="1"/>
      <c r="CJ26" s="1"/>
      <c r="CK26" s="1"/>
      <c r="CL26" s="1"/>
      <c r="CM26" s="42"/>
      <c r="CN26" s="1"/>
      <c r="CO26" s="1"/>
      <c r="CT26"/>
      <c r="CU26"/>
      <c r="CV26"/>
      <c r="CW26"/>
      <c r="CX26"/>
      <c r="CY26"/>
      <c r="CZ26"/>
      <c r="DA26"/>
      <c r="DB26"/>
      <c r="DC26"/>
      <c r="DD26"/>
      <c r="DE26"/>
      <c r="DF26"/>
      <c r="DO26"/>
      <c r="DP26"/>
      <c r="DQ26"/>
      <c r="DR26"/>
      <c r="DS26"/>
      <c r="DT26"/>
      <c r="DU26"/>
      <c r="DV26"/>
      <c r="DW26"/>
      <c r="DX26"/>
      <c r="DY26"/>
      <c r="DZ26"/>
      <c r="EA26"/>
      <c r="EB26"/>
      <c r="EC26"/>
      <c r="ED26"/>
      <c r="EE26"/>
      <c r="EF26"/>
      <c r="EG26"/>
      <c r="EH26"/>
      <c r="EI26"/>
      <c r="FA26"/>
      <c r="FB26"/>
      <c r="FC26"/>
      <c r="FD26"/>
      <c r="FE26"/>
      <c r="FF26"/>
      <c r="FG26"/>
      <c r="FH26"/>
    </row>
    <row r="27" spans="1:164" ht="16" x14ac:dyDescent="0.2">
      <c r="A27" t="s">
        <v>185</v>
      </c>
      <c r="B27" s="125" t="s">
        <v>275</v>
      </c>
      <c r="C27" t="s">
        <v>276</v>
      </c>
      <c r="D27" s="1" t="s">
        <v>73</v>
      </c>
      <c r="E27" t="s">
        <v>73</v>
      </c>
      <c r="F27" t="s">
        <v>72</v>
      </c>
      <c r="G27" s="1" t="s">
        <v>73</v>
      </c>
      <c r="H27" s="1"/>
      <c r="I27" s="1"/>
      <c r="N27" s="1"/>
      <c r="O27" s="1"/>
      <c r="P27" s="1"/>
      <c r="Q27">
        <v>0</v>
      </c>
      <c r="R27">
        <v>0</v>
      </c>
      <c r="S27">
        <v>0</v>
      </c>
      <c r="T27">
        <v>0</v>
      </c>
      <c r="U27" t="s">
        <v>73</v>
      </c>
      <c r="V27">
        <v>0</v>
      </c>
      <c r="W27" s="1">
        <v>0</v>
      </c>
      <c r="X27">
        <v>0</v>
      </c>
      <c r="Y27" s="1">
        <v>0</v>
      </c>
      <c r="Z27">
        <v>0</v>
      </c>
      <c r="AA27" s="1">
        <v>0</v>
      </c>
      <c r="AB27" s="1">
        <v>0</v>
      </c>
      <c r="AC27" t="s">
        <v>73</v>
      </c>
      <c r="AD27" s="1">
        <v>6</v>
      </c>
      <c r="AE27" s="1">
        <v>0</v>
      </c>
      <c r="AF27" s="1">
        <v>0</v>
      </c>
      <c r="AG27" s="1">
        <v>6</v>
      </c>
      <c r="AH27">
        <v>0</v>
      </c>
      <c r="AI27" s="1">
        <v>16</v>
      </c>
      <c r="AJ27" s="1">
        <v>1</v>
      </c>
      <c r="AK27" s="1" t="s">
        <v>73</v>
      </c>
      <c r="AL27" s="1" t="s">
        <v>73</v>
      </c>
      <c r="AM27" s="63" t="s">
        <v>284</v>
      </c>
      <c r="AN27" s="1">
        <v>2084</v>
      </c>
      <c r="AO27" s="84">
        <v>46006.744270833333</v>
      </c>
      <c r="AP27" s="56">
        <v>46006.702604166669</v>
      </c>
      <c r="AQ27" s="1" t="s">
        <v>73</v>
      </c>
      <c r="AR27" s="1" t="s">
        <v>73</v>
      </c>
      <c r="AS27" s="1" t="s">
        <v>73</v>
      </c>
      <c r="AT27" s="1" t="s">
        <v>73</v>
      </c>
      <c r="AU27" s="1" t="s">
        <v>73</v>
      </c>
      <c r="AV27" s="1" t="s">
        <v>73</v>
      </c>
      <c r="AW27" s="1">
        <v>0</v>
      </c>
      <c r="AX27" t="s">
        <v>73</v>
      </c>
      <c r="AY27" s="1" t="s">
        <v>158</v>
      </c>
      <c r="AZ27" s="1" t="s">
        <v>158</v>
      </c>
      <c r="BA27" s="1" t="s">
        <v>158</v>
      </c>
      <c r="BB27" s="1"/>
      <c r="BD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4"/>
      <c r="CH27" s="4"/>
      <c r="CI27" s="1"/>
      <c r="CJ27" s="1"/>
      <c r="CK27" s="1"/>
      <c r="CL27" s="1"/>
      <c r="CM27" s="42"/>
      <c r="CN27" s="1"/>
      <c r="CO27" s="1"/>
      <c r="CT27"/>
      <c r="CU27"/>
      <c r="CV27"/>
      <c r="CW27"/>
      <c r="CX27"/>
      <c r="CY27"/>
      <c r="CZ27"/>
      <c r="DA27"/>
      <c r="DB27"/>
      <c r="DC27"/>
      <c r="DD27"/>
      <c r="DE27"/>
      <c r="DF27"/>
      <c r="DO27"/>
      <c r="DP27"/>
      <c r="DQ27"/>
      <c r="DR27"/>
      <c r="DS27"/>
      <c r="DT27"/>
      <c r="DU27"/>
      <c r="DV27"/>
      <c r="DW27"/>
      <c r="DX27"/>
      <c r="DY27"/>
      <c r="DZ27"/>
      <c r="EA27"/>
      <c r="EB27"/>
      <c r="EC27"/>
      <c r="ED27"/>
      <c r="EE27"/>
      <c r="EF27"/>
      <c r="EG27"/>
      <c r="EH27"/>
      <c r="EI27"/>
      <c r="FA27"/>
      <c r="FB27"/>
      <c r="FC27"/>
      <c r="FD27"/>
      <c r="FE27"/>
      <c r="FF27"/>
      <c r="FG27"/>
      <c r="FH27"/>
    </row>
    <row r="28" spans="1:164" ht="16" x14ac:dyDescent="0.2">
      <c r="A28" t="s">
        <v>185</v>
      </c>
      <c r="B28" s="125" t="s">
        <v>272</v>
      </c>
      <c r="C28" t="s">
        <v>273</v>
      </c>
      <c r="D28" s="1" t="s">
        <v>73</v>
      </c>
      <c r="E28" t="s">
        <v>72</v>
      </c>
      <c r="F28" t="s">
        <v>73</v>
      </c>
      <c r="G28" s="1" t="s">
        <v>73</v>
      </c>
      <c r="H28" s="1"/>
      <c r="I28" s="1">
        <v>5</v>
      </c>
      <c r="J28">
        <v>5</v>
      </c>
      <c r="N28" s="1"/>
      <c r="O28" s="1"/>
      <c r="P28" s="1"/>
      <c r="Q28">
        <v>0</v>
      </c>
      <c r="R28">
        <v>0</v>
      </c>
      <c r="S28">
        <v>0</v>
      </c>
      <c r="T28">
        <v>0</v>
      </c>
      <c r="U28" t="s">
        <v>73</v>
      </c>
      <c r="V28">
        <v>0</v>
      </c>
      <c r="W28" s="1">
        <v>0</v>
      </c>
      <c r="X28">
        <v>7</v>
      </c>
      <c r="Y28" s="1">
        <v>5</v>
      </c>
      <c r="Z28">
        <v>1</v>
      </c>
      <c r="AA28" s="1">
        <v>1</v>
      </c>
      <c r="AB28" s="1">
        <v>0</v>
      </c>
      <c r="AC28" t="s">
        <v>73</v>
      </c>
      <c r="AD28" s="1">
        <v>3</v>
      </c>
      <c r="AE28" s="1">
        <v>3</v>
      </c>
      <c r="AF28" s="1">
        <v>0</v>
      </c>
      <c r="AG28" s="1">
        <v>3</v>
      </c>
      <c r="AH28">
        <v>0</v>
      </c>
      <c r="AI28" s="1">
        <v>45</v>
      </c>
      <c r="AJ28" s="1">
        <v>10</v>
      </c>
      <c r="AK28" s="1" t="s">
        <v>73</v>
      </c>
      <c r="AL28" s="1" t="s">
        <v>73</v>
      </c>
      <c r="AM28" s="63" t="s">
        <v>73</v>
      </c>
      <c r="AN28" s="1">
        <v>2080</v>
      </c>
      <c r="AO28" s="84">
        <v>46006.606979166667</v>
      </c>
      <c r="AP28" s="56">
        <v>46006.565312500003</v>
      </c>
      <c r="AQ28" s="1" t="s">
        <v>73</v>
      </c>
      <c r="AR28" s="1" t="s">
        <v>73</v>
      </c>
      <c r="AS28" s="1" t="s">
        <v>73</v>
      </c>
      <c r="AT28" s="1" t="s">
        <v>73</v>
      </c>
      <c r="AU28" s="1" t="s">
        <v>73</v>
      </c>
      <c r="AV28" s="1" t="s">
        <v>73</v>
      </c>
      <c r="AW28" s="1">
        <v>0</v>
      </c>
      <c r="AX28" t="s">
        <v>73</v>
      </c>
      <c r="AY28" s="1" t="s">
        <v>158</v>
      </c>
      <c r="AZ28" s="1" t="s">
        <v>158</v>
      </c>
      <c r="BA28" s="1" t="s">
        <v>158</v>
      </c>
      <c r="BB28" s="1"/>
      <c r="BD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4"/>
      <c r="CH28" s="4"/>
      <c r="CI28" s="1"/>
      <c r="CJ28" s="1"/>
      <c r="CK28" s="1"/>
      <c r="CL28" s="1"/>
      <c r="CM28" s="42"/>
      <c r="CN28" s="1"/>
      <c r="CO28" s="1"/>
      <c r="CT28"/>
      <c r="CU28"/>
      <c r="CV28"/>
      <c r="CW28"/>
      <c r="CX28"/>
      <c r="CY28"/>
      <c r="CZ28"/>
      <c r="DA28"/>
      <c r="DB28"/>
      <c r="DC28"/>
      <c r="DD28"/>
      <c r="DE28"/>
      <c r="DF28"/>
      <c r="DO28"/>
      <c r="DP28"/>
      <c r="DQ28"/>
      <c r="DR28"/>
      <c r="DS28"/>
      <c r="DT28"/>
      <c r="DU28"/>
      <c r="DV28"/>
      <c r="DW28"/>
      <c r="DX28"/>
      <c r="DY28"/>
      <c r="DZ28"/>
      <c r="EA28"/>
      <c r="EB28"/>
      <c r="EC28"/>
      <c r="ED28"/>
      <c r="EE28"/>
      <c r="EF28"/>
      <c r="EG28"/>
      <c r="EH28"/>
      <c r="EI28"/>
      <c r="FA28"/>
      <c r="FB28"/>
      <c r="FC28"/>
      <c r="FD28"/>
      <c r="FE28"/>
      <c r="FF28"/>
      <c r="FG28"/>
      <c r="FH28"/>
    </row>
    <row r="29" spans="1:164" ht="16" x14ac:dyDescent="0.2">
      <c r="A29" t="s">
        <v>185</v>
      </c>
      <c r="B29" s="125" t="s">
        <v>279</v>
      </c>
      <c r="C29" t="s">
        <v>280</v>
      </c>
      <c r="D29" s="1" t="s">
        <v>73</v>
      </c>
      <c r="E29" t="s">
        <v>72</v>
      </c>
      <c r="F29" t="s">
        <v>72</v>
      </c>
      <c r="G29" s="1" t="s">
        <v>73</v>
      </c>
      <c r="H29" s="1"/>
      <c r="I29" s="1">
        <v>6</v>
      </c>
      <c r="J29">
        <v>2</v>
      </c>
      <c r="N29" s="1"/>
      <c r="O29" s="1"/>
      <c r="P29" s="1"/>
      <c r="Q29">
        <v>1</v>
      </c>
      <c r="R29">
        <v>0</v>
      </c>
      <c r="S29">
        <v>1</v>
      </c>
      <c r="T29">
        <v>0</v>
      </c>
      <c r="U29" t="s">
        <v>72</v>
      </c>
      <c r="V29">
        <v>0</v>
      </c>
      <c r="W29" s="1">
        <v>0</v>
      </c>
      <c r="X29">
        <v>0</v>
      </c>
      <c r="Y29" s="1">
        <v>0</v>
      </c>
      <c r="Z29">
        <v>0</v>
      </c>
      <c r="AA29" s="1">
        <v>0</v>
      </c>
      <c r="AB29" s="1">
        <v>0</v>
      </c>
      <c r="AC29" t="s">
        <v>73</v>
      </c>
      <c r="AD29" s="1">
        <v>0</v>
      </c>
      <c r="AE29" s="1">
        <v>0</v>
      </c>
      <c r="AF29" s="1">
        <v>0</v>
      </c>
      <c r="AG29" s="1">
        <v>6</v>
      </c>
      <c r="AH29">
        <v>0</v>
      </c>
      <c r="AI29" s="1">
        <v>25</v>
      </c>
      <c r="AJ29" s="1">
        <v>2</v>
      </c>
      <c r="AK29" s="1" t="s">
        <v>73</v>
      </c>
      <c r="AL29" s="1" t="s">
        <v>73</v>
      </c>
      <c r="AM29" s="63" t="s">
        <v>73</v>
      </c>
      <c r="AN29" s="1">
        <v>2074</v>
      </c>
      <c r="AO29" s="84">
        <v>46006.476782407408</v>
      </c>
      <c r="AP29" s="56">
        <v>46008.365856481483</v>
      </c>
      <c r="AQ29" s="1" t="s">
        <v>280</v>
      </c>
      <c r="AR29" s="1" t="s">
        <v>288</v>
      </c>
      <c r="AS29" s="1" t="s">
        <v>76</v>
      </c>
      <c r="AT29" s="1" t="s">
        <v>289</v>
      </c>
      <c r="AU29" s="1" t="s">
        <v>290</v>
      </c>
      <c r="AV29" s="1" t="s">
        <v>290</v>
      </c>
      <c r="AW29" s="1">
        <v>7</v>
      </c>
      <c r="AX29" t="s">
        <v>73</v>
      </c>
      <c r="AY29" s="1" t="s">
        <v>158</v>
      </c>
      <c r="AZ29" s="1" t="s">
        <v>158</v>
      </c>
      <c r="BA29" s="1" t="s">
        <v>158</v>
      </c>
      <c r="BB29" s="1"/>
      <c r="BD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4"/>
      <c r="CH29" s="4"/>
      <c r="CI29" s="1"/>
      <c r="CJ29" s="1"/>
      <c r="CK29" s="1"/>
      <c r="CL29" s="1"/>
      <c r="CM29" s="42"/>
      <c r="CN29" s="1"/>
      <c r="CO29" s="1"/>
      <c r="CT29"/>
      <c r="CU29"/>
      <c r="CV29"/>
      <c r="CW29"/>
      <c r="CX29"/>
      <c r="CY29"/>
      <c r="CZ29"/>
      <c r="DA29"/>
      <c r="DB29"/>
      <c r="DC29"/>
      <c r="DD29"/>
      <c r="DE29"/>
      <c r="DF29"/>
      <c r="DO29"/>
      <c r="DP29"/>
      <c r="DQ29"/>
      <c r="DR29"/>
      <c r="DS29"/>
      <c r="DT29"/>
      <c r="DU29"/>
      <c r="DV29"/>
      <c r="DW29"/>
      <c r="DX29"/>
      <c r="DY29"/>
      <c r="DZ29"/>
      <c r="EA29"/>
      <c r="EB29"/>
      <c r="EC29"/>
      <c r="ED29"/>
      <c r="EE29"/>
      <c r="EF29"/>
      <c r="EG29"/>
      <c r="EH29"/>
      <c r="EI29"/>
      <c r="FA29"/>
      <c r="FB29"/>
      <c r="FC29"/>
      <c r="FD29"/>
      <c r="FE29"/>
      <c r="FF29"/>
      <c r="FG29"/>
      <c r="FH29"/>
    </row>
    <row r="30" spans="1:164" ht="16" x14ac:dyDescent="0.2">
      <c r="A30" t="s">
        <v>185</v>
      </c>
      <c r="B30" s="125" t="s">
        <v>267</v>
      </c>
      <c r="C30" t="s">
        <v>268</v>
      </c>
      <c r="D30" s="1" t="s">
        <v>73</v>
      </c>
      <c r="E30" t="s">
        <v>72</v>
      </c>
      <c r="F30" t="s">
        <v>72</v>
      </c>
      <c r="G30" s="1" t="s">
        <v>73</v>
      </c>
      <c r="H30" s="1"/>
      <c r="I30" s="1">
        <v>4</v>
      </c>
      <c r="N30" s="1">
        <v>4</v>
      </c>
      <c r="O30" s="1"/>
      <c r="P30" s="1"/>
      <c r="Q30">
        <v>0</v>
      </c>
      <c r="R30">
        <v>0</v>
      </c>
      <c r="S30">
        <v>0</v>
      </c>
      <c r="T30">
        <v>0</v>
      </c>
      <c r="U30" t="s">
        <v>73</v>
      </c>
      <c r="V30">
        <v>0</v>
      </c>
      <c r="W30" s="1">
        <v>0</v>
      </c>
      <c r="X30">
        <v>2</v>
      </c>
      <c r="Y30" s="1">
        <v>2</v>
      </c>
      <c r="Z30">
        <v>0</v>
      </c>
      <c r="AA30" s="1">
        <v>0</v>
      </c>
      <c r="AB30" s="1">
        <v>0</v>
      </c>
      <c r="AC30" t="s">
        <v>73</v>
      </c>
      <c r="AD30" s="1">
        <v>6</v>
      </c>
      <c r="AE30" s="1">
        <v>6</v>
      </c>
      <c r="AF30" s="1">
        <v>0</v>
      </c>
      <c r="AG30" s="1">
        <v>6</v>
      </c>
      <c r="AH30">
        <v>0</v>
      </c>
      <c r="AI30" s="1">
        <v>25</v>
      </c>
      <c r="AJ30" s="1">
        <v>0</v>
      </c>
      <c r="AK30" s="1" t="s">
        <v>73</v>
      </c>
      <c r="AL30" s="1" t="s">
        <v>73</v>
      </c>
      <c r="AM30" s="63" t="s">
        <v>73</v>
      </c>
      <c r="AN30" s="1">
        <v>2070</v>
      </c>
      <c r="AO30" s="84">
        <v>46005.923032407409</v>
      </c>
      <c r="AP30" s="56">
        <v>46005.881365740737</v>
      </c>
      <c r="AQ30" s="1" t="s">
        <v>73</v>
      </c>
      <c r="AR30" s="1" t="s">
        <v>73</v>
      </c>
      <c r="AS30" s="1" t="s">
        <v>73</v>
      </c>
      <c r="AT30" s="1" t="s">
        <v>73</v>
      </c>
      <c r="AU30" s="1" t="s">
        <v>73</v>
      </c>
      <c r="AV30" s="1" t="s">
        <v>73</v>
      </c>
      <c r="AW30" s="1">
        <v>0</v>
      </c>
      <c r="AX30" t="s">
        <v>73</v>
      </c>
      <c r="AY30" s="1" t="s">
        <v>158</v>
      </c>
      <c r="AZ30" s="1" t="s">
        <v>158</v>
      </c>
      <c r="BA30" s="1" t="s">
        <v>158</v>
      </c>
      <c r="BB30" s="1"/>
      <c r="BD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4"/>
      <c r="CH30" s="4"/>
      <c r="CI30" s="1"/>
      <c r="CJ30" s="1"/>
      <c r="CK30" s="1"/>
      <c r="CL30" s="1"/>
      <c r="CM30" s="42"/>
      <c r="CN30" s="1"/>
      <c r="CO30" s="1"/>
      <c r="CT30"/>
      <c r="CU30"/>
      <c r="CV30"/>
      <c r="CW30"/>
      <c r="CX30"/>
      <c r="CY30"/>
      <c r="CZ30"/>
      <c r="DA30"/>
      <c r="DB30"/>
      <c r="DC30"/>
      <c r="DD30"/>
      <c r="DE30"/>
      <c r="DF30"/>
      <c r="DO30"/>
      <c r="DP30"/>
      <c r="DQ30"/>
      <c r="DR30"/>
      <c r="DS30"/>
      <c r="DT30"/>
      <c r="DU30"/>
      <c r="DV30"/>
      <c r="DW30"/>
      <c r="DX30"/>
      <c r="DY30"/>
      <c r="DZ30"/>
      <c r="EA30"/>
      <c r="EB30"/>
      <c r="EC30"/>
      <c r="ED30"/>
      <c r="EE30"/>
      <c r="EF30"/>
      <c r="EG30"/>
      <c r="EH30"/>
      <c r="EI30"/>
      <c r="FA30"/>
      <c r="FB30"/>
      <c r="FC30"/>
      <c r="FD30"/>
      <c r="FE30"/>
      <c r="FF30"/>
      <c r="FG30"/>
      <c r="FH30"/>
    </row>
    <row r="31" spans="1:164" ht="16" x14ac:dyDescent="0.2">
      <c r="A31" t="s">
        <v>185</v>
      </c>
      <c r="B31" s="125" t="s">
        <v>248</v>
      </c>
      <c r="C31" t="s">
        <v>249</v>
      </c>
      <c r="D31" s="1" t="s">
        <v>73</v>
      </c>
      <c r="E31" t="s">
        <v>72</v>
      </c>
      <c r="F31" t="s">
        <v>72</v>
      </c>
      <c r="G31" s="1" t="s">
        <v>73</v>
      </c>
      <c r="H31" s="1"/>
      <c r="I31" s="1"/>
      <c r="L31">
        <v>7</v>
      </c>
      <c r="N31" s="1"/>
      <c r="O31" s="1"/>
      <c r="P31" s="1"/>
      <c r="Q31">
        <v>7</v>
      </c>
      <c r="R31">
        <v>0</v>
      </c>
      <c r="S31">
        <v>1</v>
      </c>
      <c r="T31">
        <v>6</v>
      </c>
      <c r="U31" t="s">
        <v>72</v>
      </c>
      <c r="V31">
        <v>0</v>
      </c>
      <c r="W31" s="1">
        <v>0</v>
      </c>
      <c r="X31">
        <v>0</v>
      </c>
      <c r="Y31" s="1">
        <v>0</v>
      </c>
      <c r="Z31">
        <v>0</v>
      </c>
      <c r="AA31" s="1">
        <v>0</v>
      </c>
      <c r="AB31" s="1">
        <v>0</v>
      </c>
      <c r="AC31" t="s">
        <v>73</v>
      </c>
      <c r="AD31" s="1">
        <v>0</v>
      </c>
      <c r="AE31" s="1">
        <v>0</v>
      </c>
      <c r="AF31" s="1">
        <v>0</v>
      </c>
      <c r="AG31" s="1">
        <v>0</v>
      </c>
      <c r="AH31">
        <v>4</v>
      </c>
      <c r="AI31" s="1">
        <v>46</v>
      </c>
      <c r="AJ31" s="1">
        <v>46</v>
      </c>
      <c r="AK31" s="1" t="s">
        <v>73</v>
      </c>
      <c r="AL31" s="1" t="s">
        <v>73</v>
      </c>
      <c r="AM31" s="63" t="s">
        <v>73</v>
      </c>
      <c r="AN31" s="1">
        <v>2064</v>
      </c>
      <c r="AO31" s="84">
        <v>46005.578136574077</v>
      </c>
      <c r="AP31" s="56">
        <v>46005.536469907405</v>
      </c>
      <c r="AQ31" s="1" t="s">
        <v>249</v>
      </c>
      <c r="AR31" s="1" t="s">
        <v>78</v>
      </c>
      <c r="AS31" s="1" t="s">
        <v>254</v>
      </c>
      <c r="AT31" s="1" t="s">
        <v>219</v>
      </c>
      <c r="AU31" s="1" t="s">
        <v>255</v>
      </c>
      <c r="AV31" s="1" t="s">
        <v>255</v>
      </c>
      <c r="AW31" s="1">
        <v>27</v>
      </c>
      <c r="AX31" t="s">
        <v>73</v>
      </c>
      <c r="AY31" s="1" t="s">
        <v>158</v>
      </c>
      <c r="AZ31" s="1" t="s">
        <v>158</v>
      </c>
      <c r="BA31" s="1" t="s">
        <v>158</v>
      </c>
      <c r="BB31" s="1"/>
      <c r="BD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4"/>
      <c r="CH31" s="4"/>
      <c r="CI31" s="1"/>
      <c r="CJ31" s="1"/>
      <c r="CK31" s="1"/>
      <c r="CL31" s="1"/>
      <c r="CM31" s="42"/>
      <c r="CN31" s="1"/>
      <c r="CO31" s="1"/>
      <c r="CT31"/>
      <c r="CU31"/>
      <c r="CV31"/>
      <c r="CW31"/>
      <c r="CX31"/>
      <c r="CY31"/>
      <c r="CZ31"/>
      <c r="DA31"/>
      <c r="DB31"/>
      <c r="DC31"/>
      <c r="DD31"/>
      <c r="DE31"/>
      <c r="DF31"/>
      <c r="DO31"/>
      <c r="DP31"/>
      <c r="DQ31"/>
      <c r="DR31"/>
      <c r="DS31"/>
      <c r="DT31"/>
      <c r="DU31"/>
      <c r="DV31"/>
      <c r="DW31"/>
      <c r="DX31"/>
      <c r="DY31"/>
      <c r="DZ31"/>
      <c r="EA31"/>
      <c r="EB31"/>
      <c r="EC31"/>
      <c r="ED31"/>
      <c r="EE31"/>
      <c r="EF31"/>
      <c r="EG31"/>
      <c r="EH31"/>
      <c r="EI31"/>
      <c r="FA31"/>
      <c r="FB31"/>
      <c r="FC31"/>
      <c r="FD31"/>
      <c r="FE31"/>
      <c r="FF31"/>
      <c r="FG31"/>
      <c r="FH31"/>
    </row>
    <row r="32" spans="1:164" ht="16" x14ac:dyDescent="0.2">
      <c r="A32" t="s">
        <v>185</v>
      </c>
      <c r="B32" s="125" t="s">
        <v>251</v>
      </c>
      <c r="C32" t="s">
        <v>252</v>
      </c>
      <c r="D32" s="1" t="s">
        <v>73</v>
      </c>
      <c r="E32" t="s">
        <v>72</v>
      </c>
      <c r="F32" t="s">
        <v>73</v>
      </c>
      <c r="G32" s="1" t="s">
        <v>73</v>
      </c>
      <c r="H32" s="1"/>
      <c r="I32" s="1">
        <v>8</v>
      </c>
      <c r="N32" s="1"/>
      <c r="O32" s="1"/>
      <c r="P32" s="1"/>
      <c r="Q32">
        <v>1</v>
      </c>
      <c r="R32">
        <v>1</v>
      </c>
      <c r="S32">
        <v>0</v>
      </c>
      <c r="T32">
        <v>0</v>
      </c>
      <c r="U32" t="s">
        <v>72</v>
      </c>
      <c r="V32">
        <v>0</v>
      </c>
      <c r="W32" s="1">
        <v>0</v>
      </c>
      <c r="X32">
        <v>0</v>
      </c>
      <c r="Y32" s="1">
        <v>0</v>
      </c>
      <c r="Z32">
        <v>0</v>
      </c>
      <c r="AA32" s="1">
        <v>0</v>
      </c>
      <c r="AB32" s="1">
        <v>0</v>
      </c>
      <c r="AC32" t="s">
        <v>72</v>
      </c>
      <c r="AD32" s="1">
        <v>6</v>
      </c>
      <c r="AE32" s="1">
        <v>6</v>
      </c>
      <c r="AF32" s="1">
        <v>0</v>
      </c>
      <c r="AG32" s="1">
        <v>6</v>
      </c>
      <c r="AH32">
        <v>0</v>
      </c>
      <c r="AI32" s="1">
        <v>90</v>
      </c>
      <c r="AJ32" s="1">
        <v>0</v>
      </c>
      <c r="AK32" s="1" t="s">
        <v>73</v>
      </c>
      <c r="AL32" s="1" t="s">
        <v>73</v>
      </c>
      <c r="AM32" s="63" t="s">
        <v>73</v>
      </c>
      <c r="AN32" s="1">
        <v>2062</v>
      </c>
      <c r="AO32" s="84">
        <v>46005.561099537037</v>
      </c>
      <c r="AP32" s="56">
        <v>46005.519432870373</v>
      </c>
      <c r="AQ32" s="1" t="s">
        <v>256</v>
      </c>
      <c r="AR32" s="1" t="s">
        <v>78</v>
      </c>
      <c r="AS32" s="1" t="s">
        <v>254</v>
      </c>
      <c r="AT32" s="1" t="s">
        <v>219</v>
      </c>
      <c r="AU32" s="1" t="s">
        <v>257</v>
      </c>
      <c r="AV32" s="1" t="s">
        <v>257</v>
      </c>
      <c r="AW32" s="1">
        <v>58</v>
      </c>
      <c r="AX32" t="s">
        <v>73</v>
      </c>
      <c r="AY32" s="1" t="s">
        <v>158</v>
      </c>
      <c r="AZ32" s="1" t="s">
        <v>158</v>
      </c>
      <c r="BA32" s="1" t="s">
        <v>158</v>
      </c>
      <c r="BB32" s="1"/>
      <c r="BD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4"/>
      <c r="CH32" s="4"/>
      <c r="CI32" s="1"/>
      <c r="CJ32" s="1"/>
      <c r="CK32" s="1"/>
      <c r="CL32" s="1"/>
      <c r="CM32" s="42"/>
      <c r="CN32" s="1"/>
      <c r="CO32" s="1"/>
      <c r="CT32"/>
      <c r="CU32"/>
      <c r="CV32"/>
      <c r="CW32"/>
      <c r="CX32"/>
      <c r="CY32"/>
      <c r="CZ32"/>
      <c r="DA32"/>
      <c r="DB32"/>
      <c r="DC32"/>
      <c r="DD32"/>
      <c r="DE32"/>
      <c r="DF32"/>
      <c r="DO32"/>
      <c r="DP32"/>
      <c r="DQ32"/>
      <c r="DR32"/>
      <c r="DS32"/>
      <c r="DT32"/>
      <c r="DU32"/>
      <c r="DV32"/>
      <c r="DW32"/>
      <c r="DX32"/>
      <c r="DY32"/>
      <c r="DZ32"/>
      <c r="EA32"/>
      <c r="EB32"/>
      <c r="EC32"/>
      <c r="ED32"/>
      <c r="EE32"/>
      <c r="EF32"/>
      <c r="EG32"/>
      <c r="EH32"/>
      <c r="EI32"/>
      <c r="FA32"/>
      <c r="FB32"/>
      <c r="FC32"/>
      <c r="FD32"/>
      <c r="FE32"/>
      <c r="FF32"/>
      <c r="FG32"/>
      <c r="FH32"/>
    </row>
    <row r="33" spans="1:164" ht="16" x14ac:dyDescent="0.2">
      <c r="A33" t="s">
        <v>185</v>
      </c>
      <c r="B33" s="125" t="s">
        <v>203</v>
      </c>
      <c r="C33" t="s">
        <v>204</v>
      </c>
      <c r="D33" s="1" t="s">
        <v>73</v>
      </c>
      <c r="E33" t="s">
        <v>72</v>
      </c>
      <c r="F33" t="s">
        <v>72</v>
      </c>
      <c r="G33" s="1" t="s">
        <v>72</v>
      </c>
      <c r="H33" s="1" t="s">
        <v>72</v>
      </c>
      <c r="I33" s="1"/>
      <c r="N33" s="1"/>
      <c r="O33" s="1"/>
      <c r="P33" s="1"/>
      <c r="Q33">
        <v>0</v>
      </c>
      <c r="R33">
        <v>0</v>
      </c>
      <c r="S33">
        <v>0</v>
      </c>
      <c r="T33">
        <v>0</v>
      </c>
      <c r="U33" t="s">
        <v>73</v>
      </c>
      <c r="V33">
        <v>3</v>
      </c>
      <c r="W33" s="1">
        <v>14</v>
      </c>
      <c r="X33">
        <v>6</v>
      </c>
      <c r="Y33" s="1">
        <v>6</v>
      </c>
      <c r="Z33">
        <v>0</v>
      </c>
      <c r="AA33" s="1">
        <v>0</v>
      </c>
      <c r="AB33" s="1">
        <v>0</v>
      </c>
      <c r="AC33" t="s">
        <v>72</v>
      </c>
      <c r="AD33" s="1">
        <v>6</v>
      </c>
      <c r="AE33" s="1">
        <v>6</v>
      </c>
      <c r="AF33" s="1">
        <v>0</v>
      </c>
      <c r="AG33" s="1">
        <v>6</v>
      </c>
      <c r="AH33">
        <v>1</v>
      </c>
      <c r="AI33" s="1">
        <v>70</v>
      </c>
      <c r="AJ33" s="1">
        <v>10</v>
      </c>
      <c r="AK33" s="1" t="s">
        <v>73</v>
      </c>
      <c r="AL33" s="1" t="s">
        <v>73</v>
      </c>
      <c r="AM33" s="63" t="s">
        <v>73</v>
      </c>
      <c r="AN33" s="1">
        <v>2059</v>
      </c>
      <c r="AO33" s="84">
        <v>46004.61959490741</v>
      </c>
      <c r="AP33" s="56">
        <v>46004.577928240738</v>
      </c>
      <c r="AQ33" s="1" t="s">
        <v>73</v>
      </c>
      <c r="AR33" s="1" t="s">
        <v>73</v>
      </c>
      <c r="AS33" s="1" t="s">
        <v>73</v>
      </c>
      <c r="AT33" s="1" t="s">
        <v>73</v>
      </c>
      <c r="AU33" s="1" t="s">
        <v>73</v>
      </c>
      <c r="AV33" s="1" t="s">
        <v>73</v>
      </c>
      <c r="AW33" s="1">
        <v>0</v>
      </c>
      <c r="AX33" t="s">
        <v>75</v>
      </c>
      <c r="AY33" s="1" t="s">
        <v>244</v>
      </c>
      <c r="AZ33" s="1" t="s">
        <v>245</v>
      </c>
      <c r="BA33" s="1" t="s">
        <v>246</v>
      </c>
      <c r="BB33" s="1"/>
      <c r="BD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4"/>
      <c r="CH33" s="4"/>
      <c r="CI33" s="1"/>
      <c r="CJ33" s="1"/>
      <c r="CK33" s="1"/>
      <c r="CL33" s="1"/>
      <c r="CM33" s="42"/>
      <c r="CN33" s="1"/>
      <c r="CO33" s="1"/>
      <c r="CT33"/>
      <c r="CU33"/>
      <c r="CV33"/>
      <c r="CW33"/>
      <c r="CX33"/>
      <c r="CY33"/>
      <c r="CZ33"/>
      <c r="DA33"/>
      <c r="DB33"/>
      <c r="DC33"/>
      <c r="DD33"/>
      <c r="DE33"/>
      <c r="DF33"/>
      <c r="DO33"/>
      <c r="DP33"/>
      <c r="DQ33"/>
      <c r="DR33"/>
      <c r="DS33"/>
      <c r="DT33"/>
      <c r="DU33"/>
      <c r="DV33"/>
      <c r="DW33"/>
      <c r="DX33"/>
      <c r="DY33"/>
      <c r="DZ33"/>
      <c r="EA33"/>
      <c r="EB33"/>
      <c r="EC33"/>
      <c r="ED33"/>
      <c r="EE33"/>
      <c r="EF33"/>
      <c r="EG33"/>
      <c r="EH33"/>
      <c r="EI33"/>
      <c r="FA33"/>
      <c r="FB33"/>
      <c r="FC33"/>
      <c r="FD33"/>
      <c r="FE33"/>
      <c r="FF33"/>
      <c r="FG33"/>
      <c r="FH33"/>
    </row>
    <row r="34" spans="1:164" ht="16" x14ac:dyDescent="0.2">
      <c r="A34" t="s">
        <v>185</v>
      </c>
      <c r="B34" s="125" t="s">
        <v>232</v>
      </c>
      <c r="C34" t="s">
        <v>233</v>
      </c>
      <c r="D34" s="1" t="s">
        <v>72</v>
      </c>
      <c r="E34" t="s">
        <v>72</v>
      </c>
      <c r="F34" t="s">
        <v>73</v>
      </c>
      <c r="G34" s="1" t="s">
        <v>72</v>
      </c>
      <c r="H34" s="1" t="s">
        <v>72</v>
      </c>
      <c r="I34" s="1">
        <v>6</v>
      </c>
      <c r="N34" s="1"/>
      <c r="O34" s="1"/>
      <c r="P34" s="1"/>
      <c r="Q34">
        <v>0</v>
      </c>
      <c r="R34">
        <v>0</v>
      </c>
      <c r="S34">
        <v>0</v>
      </c>
      <c r="T34">
        <v>0</v>
      </c>
      <c r="U34" t="s">
        <v>73</v>
      </c>
      <c r="V34">
        <v>5</v>
      </c>
      <c r="W34" s="1">
        <v>9</v>
      </c>
      <c r="X34">
        <v>2</v>
      </c>
      <c r="Y34" s="1">
        <v>2</v>
      </c>
      <c r="Z34">
        <v>0</v>
      </c>
      <c r="AA34" s="1">
        <v>0</v>
      </c>
      <c r="AB34" s="1">
        <v>0</v>
      </c>
      <c r="AC34" t="s">
        <v>73</v>
      </c>
      <c r="AD34" s="1">
        <v>0</v>
      </c>
      <c r="AE34" s="1">
        <v>0</v>
      </c>
      <c r="AF34" s="1">
        <v>0</v>
      </c>
      <c r="AG34" s="1">
        <v>0</v>
      </c>
      <c r="AH34">
        <v>0</v>
      </c>
      <c r="AI34" s="1">
        <v>60</v>
      </c>
      <c r="AJ34" s="1">
        <v>15</v>
      </c>
      <c r="AK34" s="1" t="s">
        <v>72</v>
      </c>
      <c r="AL34" s="1" t="s">
        <v>73</v>
      </c>
      <c r="AM34" s="63" t="s">
        <v>73</v>
      </c>
      <c r="AN34" s="1">
        <v>2055</v>
      </c>
      <c r="AO34" s="84">
        <v>46003.902245370373</v>
      </c>
      <c r="AP34" s="56">
        <v>46003.860578703701</v>
      </c>
      <c r="AQ34" s="1" t="s">
        <v>73</v>
      </c>
      <c r="AR34" s="1" t="s">
        <v>73</v>
      </c>
      <c r="AS34" s="1" t="s">
        <v>73</v>
      </c>
      <c r="AT34" s="1" t="s">
        <v>73</v>
      </c>
      <c r="AU34" s="1" t="s">
        <v>73</v>
      </c>
      <c r="AV34" s="1" t="s">
        <v>73</v>
      </c>
      <c r="AW34" s="1">
        <v>0</v>
      </c>
      <c r="AX34" t="s">
        <v>75</v>
      </c>
      <c r="AY34" s="1" t="s">
        <v>235</v>
      </c>
      <c r="AZ34" s="1" t="s">
        <v>214</v>
      </c>
      <c r="BA34" s="1" t="s">
        <v>236</v>
      </c>
      <c r="BB34" s="1"/>
      <c r="BD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4"/>
      <c r="CH34" s="4"/>
      <c r="CI34" s="1"/>
      <c r="CJ34" s="1"/>
      <c r="CK34" s="1"/>
      <c r="CL34" s="1"/>
      <c r="CM34" s="42"/>
      <c r="CN34" s="1"/>
      <c r="CO34" s="1"/>
      <c r="CT34"/>
      <c r="CU34"/>
      <c r="CV34"/>
      <c r="CW34"/>
      <c r="CX34"/>
      <c r="CY34"/>
      <c r="CZ34"/>
      <c r="DA34"/>
      <c r="DB34"/>
      <c r="DC34"/>
      <c r="DD34"/>
      <c r="DE34"/>
      <c r="DF34"/>
      <c r="DO34"/>
      <c r="DP34"/>
      <c r="DQ34"/>
      <c r="DR34"/>
      <c r="DS34"/>
      <c r="DT34"/>
      <c r="DU34"/>
      <c r="DV34"/>
      <c r="DW34"/>
      <c r="DX34"/>
      <c r="DY34"/>
      <c r="DZ34"/>
      <c r="EA34"/>
      <c r="EB34"/>
      <c r="EC34"/>
      <c r="ED34"/>
      <c r="EE34"/>
      <c r="EF34"/>
      <c r="EG34"/>
      <c r="EH34"/>
      <c r="EI34"/>
      <c r="FA34"/>
      <c r="FB34"/>
      <c r="FC34"/>
      <c r="FD34"/>
      <c r="FE34"/>
      <c r="FF34"/>
      <c r="FG34"/>
      <c r="FH34"/>
    </row>
    <row r="35" spans="1:164" ht="16" x14ac:dyDescent="0.2">
      <c r="A35" t="s">
        <v>185</v>
      </c>
      <c r="B35" s="125" t="s">
        <v>224</v>
      </c>
      <c r="C35" t="s">
        <v>225</v>
      </c>
      <c r="D35" s="1" t="s">
        <v>72</v>
      </c>
      <c r="E35" t="s">
        <v>72</v>
      </c>
      <c r="F35" t="s">
        <v>72</v>
      </c>
      <c r="G35" s="1" t="s">
        <v>73</v>
      </c>
      <c r="H35" s="1"/>
      <c r="I35" s="1">
        <v>14</v>
      </c>
      <c r="J35">
        <v>4</v>
      </c>
      <c r="L35">
        <v>2</v>
      </c>
      <c r="N35" s="1">
        <v>4</v>
      </c>
      <c r="O35" s="1">
        <v>3</v>
      </c>
      <c r="P35" s="1"/>
      <c r="Q35">
        <v>6</v>
      </c>
      <c r="R35">
        <v>3</v>
      </c>
      <c r="S35">
        <v>3</v>
      </c>
      <c r="T35">
        <v>0</v>
      </c>
      <c r="U35" t="s">
        <v>73</v>
      </c>
      <c r="V35">
        <v>0</v>
      </c>
      <c r="W35" s="1">
        <v>0</v>
      </c>
      <c r="X35">
        <v>4</v>
      </c>
      <c r="Y35" s="1">
        <v>1</v>
      </c>
      <c r="Z35">
        <v>3</v>
      </c>
      <c r="AA35" s="1">
        <v>0</v>
      </c>
      <c r="AB35" s="1">
        <v>0</v>
      </c>
      <c r="AC35" t="s">
        <v>73</v>
      </c>
      <c r="AD35" s="1">
        <v>4</v>
      </c>
      <c r="AE35" s="1">
        <v>4</v>
      </c>
      <c r="AF35" s="1">
        <v>0</v>
      </c>
      <c r="AG35" s="1">
        <v>0</v>
      </c>
      <c r="AH35">
        <v>1</v>
      </c>
      <c r="AI35" s="1">
        <v>66</v>
      </c>
      <c r="AJ35" s="1">
        <v>8</v>
      </c>
      <c r="AK35" s="1" t="s">
        <v>72</v>
      </c>
      <c r="AL35" s="1" t="s">
        <v>73</v>
      </c>
      <c r="AM35" s="63" t="s">
        <v>73</v>
      </c>
      <c r="AN35" s="1">
        <v>2052</v>
      </c>
      <c r="AO35" s="84">
        <v>46003.7893287037</v>
      </c>
      <c r="AP35" s="56">
        <v>46003.747662037036</v>
      </c>
      <c r="AQ35" s="1" t="s">
        <v>73</v>
      </c>
      <c r="AR35" s="1" t="s">
        <v>73</v>
      </c>
      <c r="AS35" s="1" t="s">
        <v>73</v>
      </c>
      <c r="AT35" s="1" t="s">
        <v>73</v>
      </c>
      <c r="AU35" s="1" t="s">
        <v>73</v>
      </c>
      <c r="AV35" s="1" t="s">
        <v>73</v>
      </c>
      <c r="AW35" s="1">
        <v>0</v>
      </c>
      <c r="AX35" t="s">
        <v>73</v>
      </c>
      <c r="AY35" s="1" t="s">
        <v>158</v>
      </c>
      <c r="AZ35" s="1" t="s">
        <v>158</v>
      </c>
      <c r="BA35" s="1" t="s">
        <v>158</v>
      </c>
      <c r="BB35" s="1"/>
      <c r="BD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4"/>
      <c r="CH35" s="4"/>
      <c r="CI35" s="1"/>
      <c r="CJ35" s="1"/>
      <c r="CK35" s="1"/>
      <c r="CL35" s="1"/>
      <c r="CM35" s="42"/>
      <c r="CN35" s="1"/>
      <c r="CO35" s="1"/>
      <c r="CT35"/>
      <c r="CU35"/>
      <c r="CV35"/>
      <c r="CW35"/>
      <c r="CX35"/>
      <c r="CY35"/>
      <c r="CZ35"/>
      <c r="DA35"/>
      <c r="DB35"/>
      <c r="DC35"/>
      <c r="DD35"/>
      <c r="DE35"/>
      <c r="DF35"/>
      <c r="DO35"/>
      <c r="DP35"/>
      <c r="DQ35"/>
      <c r="DR35"/>
      <c r="DS35"/>
      <c r="DT35"/>
      <c r="DU35"/>
      <c r="DV35"/>
      <c r="DW35"/>
      <c r="DX35"/>
      <c r="DY35"/>
      <c r="DZ35"/>
      <c r="EA35"/>
      <c r="EB35"/>
      <c r="EC35"/>
      <c r="ED35"/>
      <c r="EE35"/>
      <c r="EF35"/>
      <c r="EG35"/>
      <c r="EH35"/>
      <c r="EI35"/>
      <c r="FA35"/>
      <c r="FB35"/>
      <c r="FC35"/>
      <c r="FD35"/>
      <c r="FE35"/>
      <c r="FF35"/>
      <c r="FG35"/>
      <c r="FH35"/>
    </row>
    <row r="36" spans="1:164" ht="16" x14ac:dyDescent="0.2">
      <c r="A36" t="s">
        <v>185</v>
      </c>
      <c r="B36" s="125" t="s">
        <v>216</v>
      </c>
      <c r="C36" t="s">
        <v>217</v>
      </c>
      <c r="D36" s="1" t="s">
        <v>72</v>
      </c>
      <c r="E36" t="s">
        <v>72</v>
      </c>
      <c r="F36" t="s">
        <v>73</v>
      </c>
      <c r="G36" s="1" t="s">
        <v>73</v>
      </c>
      <c r="H36" s="1"/>
      <c r="I36" s="1">
        <v>9</v>
      </c>
      <c r="L36">
        <v>3</v>
      </c>
      <c r="N36" s="1"/>
      <c r="O36" s="1"/>
      <c r="P36" s="1"/>
      <c r="Q36">
        <v>0</v>
      </c>
      <c r="R36">
        <v>0</v>
      </c>
      <c r="S36">
        <v>0</v>
      </c>
      <c r="T36">
        <v>0</v>
      </c>
      <c r="U36" t="s">
        <v>73</v>
      </c>
      <c r="V36">
        <v>0</v>
      </c>
      <c r="W36" s="1">
        <v>0</v>
      </c>
      <c r="X36">
        <v>4</v>
      </c>
      <c r="Y36" s="1">
        <v>2</v>
      </c>
      <c r="Z36">
        <v>1</v>
      </c>
      <c r="AA36" s="1">
        <v>0</v>
      </c>
      <c r="AB36" s="1">
        <v>1</v>
      </c>
      <c r="AC36" t="s">
        <v>72</v>
      </c>
      <c r="AD36" s="1">
        <v>3</v>
      </c>
      <c r="AE36" s="1">
        <v>3</v>
      </c>
      <c r="AF36" s="1">
        <v>0</v>
      </c>
      <c r="AG36" s="1">
        <v>3</v>
      </c>
      <c r="AH36">
        <v>0</v>
      </c>
      <c r="AI36" s="1">
        <v>77</v>
      </c>
      <c r="AJ36" s="1">
        <v>12</v>
      </c>
      <c r="AK36" s="1" t="s">
        <v>73</v>
      </c>
      <c r="AL36" s="1" t="s">
        <v>73</v>
      </c>
      <c r="AM36" s="63" t="s">
        <v>73</v>
      </c>
      <c r="AN36" s="1">
        <v>2046</v>
      </c>
      <c r="AO36" s="84">
        <v>46003.556469907409</v>
      </c>
      <c r="AP36" s="56">
        <v>46003.514803240738</v>
      </c>
      <c r="AQ36" s="1" t="s">
        <v>73</v>
      </c>
      <c r="AR36" s="1" t="s">
        <v>73</v>
      </c>
      <c r="AS36" s="1" t="s">
        <v>73</v>
      </c>
      <c r="AT36" s="1" t="s">
        <v>73</v>
      </c>
      <c r="AU36" s="1" t="s">
        <v>73</v>
      </c>
      <c r="AV36" s="1" t="s">
        <v>73</v>
      </c>
      <c r="AW36" s="1">
        <v>0</v>
      </c>
      <c r="AX36" t="s">
        <v>73</v>
      </c>
      <c r="AY36" s="1" t="s">
        <v>158</v>
      </c>
      <c r="AZ36" s="1" t="s">
        <v>158</v>
      </c>
      <c r="BA36" s="1" t="s">
        <v>158</v>
      </c>
      <c r="BB36" s="1"/>
      <c r="BD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4"/>
      <c r="CH36" s="4"/>
      <c r="CI36" s="1"/>
      <c r="CJ36" s="1"/>
      <c r="CK36" s="1"/>
      <c r="CL36" s="1"/>
      <c r="CM36" s="42"/>
      <c r="CN36" s="1"/>
      <c r="CO36" s="1"/>
      <c r="CT36"/>
      <c r="CU36"/>
      <c r="CV36"/>
      <c r="CW36"/>
      <c r="CX36"/>
      <c r="CY36"/>
      <c r="CZ36"/>
      <c r="DA36"/>
      <c r="DB36"/>
      <c r="DC36"/>
      <c r="DD36"/>
      <c r="DE36"/>
      <c r="DF36"/>
      <c r="DO36"/>
      <c r="DP36"/>
      <c r="DQ36"/>
      <c r="DR36"/>
      <c r="DS36"/>
      <c r="DT36"/>
      <c r="DU36"/>
      <c r="DV36"/>
      <c r="DW36"/>
      <c r="DX36"/>
      <c r="DY36"/>
      <c r="DZ36"/>
      <c r="EA36"/>
      <c r="EB36"/>
      <c r="EC36"/>
      <c r="ED36"/>
      <c r="EE36"/>
      <c r="EF36"/>
      <c r="EG36"/>
      <c r="EH36"/>
      <c r="EI36"/>
      <c r="FA36"/>
      <c r="FB36"/>
      <c r="FC36"/>
      <c r="FD36"/>
      <c r="FE36"/>
      <c r="FF36"/>
      <c r="FG36"/>
      <c r="FH36"/>
    </row>
    <row r="37" spans="1:164" ht="16" x14ac:dyDescent="0.2">
      <c r="A37" t="s">
        <v>185</v>
      </c>
      <c r="B37" s="125" t="s">
        <v>209</v>
      </c>
      <c r="C37" t="s">
        <v>210</v>
      </c>
      <c r="D37" s="1" t="s">
        <v>73</v>
      </c>
      <c r="E37" t="s">
        <v>72</v>
      </c>
      <c r="F37" t="s">
        <v>72</v>
      </c>
      <c r="G37" s="1" t="s">
        <v>72</v>
      </c>
      <c r="H37" s="1" t="s">
        <v>72</v>
      </c>
      <c r="I37" s="1">
        <v>8</v>
      </c>
      <c r="J37">
        <v>4</v>
      </c>
      <c r="L37">
        <v>4</v>
      </c>
      <c r="N37" s="1">
        <v>4</v>
      </c>
      <c r="O37" s="1">
        <v>3</v>
      </c>
      <c r="P37" s="1"/>
      <c r="Q37">
        <v>4</v>
      </c>
      <c r="R37">
        <v>1</v>
      </c>
      <c r="S37">
        <v>3</v>
      </c>
      <c r="T37">
        <v>0</v>
      </c>
      <c r="U37" t="s">
        <v>73</v>
      </c>
      <c r="V37">
        <v>7</v>
      </c>
      <c r="W37" s="1">
        <v>20</v>
      </c>
      <c r="X37">
        <v>11</v>
      </c>
      <c r="Y37" s="1">
        <v>9</v>
      </c>
      <c r="Z37">
        <v>1</v>
      </c>
      <c r="AA37" s="1">
        <v>0</v>
      </c>
      <c r="AB37" s="1">
        <v>1</v>
      </c>
      <c r="AC37" t="s">
        <v>73</v>
      </c>
      <c r="AD37" s="1">
        <v>6</v>
      </c>
      <c r="AE37" s="1">
        <v>0</v>
      </c>
      <c r="AF37" s="1">
        <v>0</v>
      </c>
      <c r="AG37" s="1">
        <v>6</v>
      </c>
      <c r="AH37">
        <v>1</v>
      </c>
      <c r="AI37" s="1">
        <v>85</v>
      </c>
      <c r="AJ37" s="1">
        <v>27</v>
      </c>
      <c r="AK37" s="1" t="s">
        <v>72</v>
      </c>
      <c r="AL37" s="1" t="s">
        <v>73</v>
      </c>
      <c r="AM37" s="63" t="s">
        <v>73</v>
      </c>
      <c r="AN37" s="1">
        <v>2043</v>
      </c>
      <c r="AO37" s="84">
        <v>46002.965682870374</v>
      </c>
      <c r="AP37" s="56">
        <v>46018.817372685182</v>
      </c>
      <c r="AQ37" s="1" t="s">
        <v>73</v>
      </c>
      <c r="AR37" s="1" t="s">
        <v>73</v>
      </c>
      <c r="AS37" s="1" t="s">
        <v>73</v>
      </c>
      <c r="AT37" s="1" t="s">
        <v>73</v>
      </c>
      <c r="AU37" s="1" t="s">
        <v>73</v>
      </c>
      <c r="AV37" s="1" t="s">
        <v>73</v>
      </c>
      <c r="AW37" s="1">
        <v>0</v>
      </c>
      <c r="AX37" t="s">
        <v>75</v>
      </c>
      <c r="AY37" s="1" t="s">
        <v>423</v>
      </c>
      <c r="AZ37" s="1" t="s">
        <v>228</v>
      </c>
      <c r="BA37" s="1" t="s">
        <v>229</v>
      </c>
      <c r="BB37" s="1"/>
      <c r="BD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4"/>
      <c r="CH37" s="4"/>
      <c r="CI37" s="1"/>
      <c r="CJ37" s="1"/>
      <c r="CK37" s="1"/>
      <c r="CL37" s="1"/>
      <c r="CM37" s="42"/>
      <c r="CN37" s="1"/>
      <c r="CO37" s="1"/>
      <c r="CT37"/>
      <c r="CU37"/>
      <c r="CV37"/>
      <c r="CW37"/>
      <c r="CX37"/>
      <c r="CY37"/>
      <c r="CZ37"/>
      <c r="DA37"/>
      <c r="DB37"/>
      <c r="DC37"/>
      <c r="DD37"/>
      <c r="DE37"/>
      <c r="DF37"/>
      <c r="DO37"/>
      <c r="DP37"/>
      <c r="DQ37"/>
      <c r="DR37"/>
      <c r="DS37"/>
      <c r="DT37"/>
      <c r="DU37"/>
      <c r="DV37"/>
      <c r="DW37"/>
      <c r="DX37"/>
      <c r="DY37"/>
      <c r="DZ37"/>
      <c r="EA37"/>
      <c r="EB37"/>
      <c r="EC37"/>
      <c r="ED37"/>
      <c r="EE37"/>
      <c r="EF37"/>
      <c r="EG37"/>
      <c r="EH37"/>
      <c r="EI37"/>
      <c r="FA37"/>
      <c r="FB37"/>
      <c r="FC37"/>
      <c r="FD37"/>
      <c r="FE37"/>
      <c r="FF37"/>
      <c r="FG37"/>
      <c r="FH37"/>
    </row>
    <row r="38" spans="1:164" ht="16" x14ac:dyDescent="0.2">
      <c r="A38" t="s">
        <v>185</v>
      </c>
      <c r="B38" s="125" t="s">
        <v>188</v>
      </c>
      <c r="C38" t="s">
        <v>189</v>
      </c>
      <c r="D38" s="1" t="s">
        <v>73</v>
      </c>
      <c r="E38" t="s">
        <v>72</v>
      </c>
      <c r="F38" t="s">
        <v>73</v>
      </c>
      <c r="G38" s="1" t="s">
        <v>73</v>
      </c>
      <c r="H38" s="1"/>
      <c r="I38" s="1">
        <v>6</v>
      </c>
      <c r="N38" s="1"/>
      <c r="O38" s="1"/>
      <c r="P38" s="1"/>
      <c r="Q38">
        <v>0</v>
      </c>
      <c r="R38">
        <v>0</v>
      </c>
      <c r="S38">
        <v>0</v>
      </c>
      <c r="T38">
        <v>0</v>
      </c>
      <c r="U38" t="s">
        <v>73</v>
      </c>
      <c r="V38">
        <v>0</v>
      </c>
      <c r="W38" s="1">
        <v>0</v>
      </c>
      <c r="X38">
        <v>0</v>
      </c>
      <c r="Y38" s="1">
        <v>0</v>
      </c>
      <c r="Z38">
        <v>0</v>
      </c>
      <c r="AA38" s="1">
        <v>0</v>
      </c>
      <c r="AB38" s="1">
        <v>0</v>
      </c>
      <c r="AC38" t="s">
        <v>73</v>
      </c>
      <c r="AD38" s="1">
        <v>0</v>
      </c>
      <c r="AE38" s="1">
        <v>0</v>
      </c>
      <c r="AF38" s="1">
        <v>0</v>
      </c>
      <c r="AG38" s="1">
        <v>0</v>
      </c>
      <c r="AH38">
        <v>0</v>
      </c>
      <c r="AI38" s="1">
        <v>10</v>
      </c>
      <c r="AJ38" s="1">
        <v>0</v>
      </c>
      <c r="AK38" s="1" t="s">
        <v>73</v>
      </c>
      <c r="AL38" s="1" t="s">
        <v>73</v>
      </c>
      <c r="AM38" s="63" t="s">
        <v>73</v>
      </c>
      <c r="AN38" s="1">
        <v>2035</v>
      </c>
      <c r="AO38" s="84">
        <v>46000.698564814818</v>
      </c>
      <c r="AP38" s="56">
        <v>46000.656898148147</v>
      </c>
      <c r="AQ38" s="1" t="s">
        <v>73</v>
      </c>
      <c r="AR38" s="1" t="s">
        <v>73</v>
      </c>
      <c r="AS38" s="1" t="s">
        <v>73</v>
      </c>
      <c r="AT38" s="1" t="s">
        <v>73</v>
      </c>
      <c r="AU38" s="1" t="s">
        <v>73</v>
      </c>
      <c r="AV38" s="1" t="s">
        <v>73</v>
      </c>
      <c r="AW38" s="1">
        <v>0</v>
      </c>
      <c r="AX38" t="s">
        <v>73</v>
      </c>
      <c r="AY38" s="1" t="s">
        <v>158</v>
      </c>
      <c r="AZ38" s="1" t="s">
        <v>158</v>
      </c>
      <c r="BA38" s="1" t="s">
        <v>158</v>
      </c>
      <c r="BB38" s="1"/>
      <c r="BD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4"/>
      <c r="CH38" s="4"/>
      <c r="CI38" s="1"/>
      <c r="CJ38" s="1"/>
      <c r="CK38" s="1"/>
      <c r="CL38" s="1"/>
      <c r="CM38" s="42"/>
      <c r="CN38" s="1"/>
      <c r="CO38" s="1"/>
      <c r="CT38"/>
      <c r="CU38"/>
      <c r="CV38"/>
      <c r="CW38"/>
      <c r="CX38"/>
      <c r="CY38"/>
      <c r="CZ38"/>
      <c r="DA38"/>
      <c r="DB38"/>
      <c r="DC38"/>
      <c r="DD38"/>
      <c r="DE38"/>
      <c r="DF38"/>
      <c r="DO38"/>
      <c r="DP38"/>
      <c r="DQ38"/>
      <c r="DR38"/>
      <c r="DS38"/>
      <c r="DT38"/>
      <c r="DU38"/>
      <c r="DV38"/>
      <c r="DW38"/>
      <c r="DX38"/>
      <c r="DY38"/>
      <c r="DZ38"/>
      <c r="EA38"/>
      <c r="EB38"/>
      <c r="EC38"/>
      <c r="ED38"/>
      <c r="EE38"/>
      <c r="EF38"/>
      <c r="EG38"/>
      <c r="EH38"/>
      <c r="EI38"/>
      <c r="FA38"/>
      <c r="FB38"/>
      <c r="FC38"/>
      <c r="FD38"/>
      <c r="FE38"/>
      <c r="FF38"/>
      <c r="FG38"/>
      <c r="FH38"/>
    </row>
    <row r="39" spans="1:164" ht="16" x14ac:dyDescent="0.2">
      <c r="A39" t="s">
        <v>185</v>
      </c>
      <c r="B39" s="125" t="s">
        <v>192</v>
      </c>
      <c r="C39" t="s">
        <v>193</v>
      </c>
      <c r="D39" s="1" t="s">
        <v>73</v>
      </c>
      <c r="E39" t="s">
        <v>72</v>
      </c>
      <c r="F39" t="s">
        <v>72</v>
      </c>
      <c r="G39" s="1" t="s">
        <v>73</v>
      </c>
      <c r="H39" s="1"/>
      <c r="I39" s="1"/>
      <c r="J39">
        <v>8</v>
      </c>
      <c r="N39" s="1"/>
      <c r="O39" s="1"/>
      <c r="P39" s="1"/>
      <c r="Q39">
        <v>0</v>
      </c>
      <c r="R39">
        <v>0</v>
      </c>
      <c r="S39">
        <v>0</v>
      </c>
      <c r="T39">
        <v>0</v>
      </c>
      <c r="U39" t="s">
        <v>73</v>
      </c>
      <c r="V39">
        <v>0</v>
      </c>
      <c r="W39" s="1">
        <v>0</v>
      </c>
      <c r="X39">
        <v>0</v>
      </c>
      <c r="Y39" s="1">
        <v>0</v>
      </c>
      <c r="Z39">
        <v>0</v>
      </c>
      <c r="AA39" s="1">
        <v>0</v>
      </c>
      <c r="AB39" s="1">
        <v>0</v>
      </c>
      <c r="AC39" t="s">
        <v>73</v>
      </c>
      <c r="AD39" s="1">
        <v>4</v>
      </c>
      <c r="AE39" s="1">
        <v>0</v>
      </c>
      <c r="AF39" s="1">
        <v>0</v>
      </c>
      <c r="AG39" s="1">
        <v>0</v>
      </c>
      <c r="AH39">
        <v>0</v>
      </c>
      <c r="AI39" s="1">
        <v>20</v>
      </c>
      <c r="AJ39" s="1">
        <v>6</v>
      </c>
      <c r="AK39" s="1" t="s">
        <v>73</v>
      </c>
      <c r="AL39" s="1" t="s">
        <v>73</v>
      </c>
      <c r="AM39" s="63" t="s">
        <v>73</v>
      </c>
      <c r="AN39" s="1">
        <v>2033</v>
      </c>
      <c r="AO39" s="84">
        <v>45999.859965277778</v>
      </c>
      <c r="AP39" s="56">
        <v>45999.818298611113</v>
      </c>
      <c r="AQ39" s="1" t="s">
        <v>73</v>
      </c>
      <c r="AR39" s="1" t="s">
        <v>73</v>
      </c>
      <c r="AS39" s="1" t="s">
        <v>73</v>
      </c>
      <c r="AT39" s="1" t="s">
        <v>73</v>
      </c>
      <c r="AU39" s="1" t="s">
        <v>73</v>
      </c>
      <c r="AV39" s="1" t="s">
        <v>73</v>
      </c>
      <c r="AW39" s="1">
        <v>0</v>
      </c>
      <c r="AX39" t="s">
        <v>73</v>
      </c>
      <c r="AY39" s="1" t="s">
        <v>158</v>
      </c>
      <c r="AZ39" s="1" t="s">
        <v>158</v>
      </c>
      <c r="BA39" s="1" t="s">
        <v>158</v>
      </c>
      <c r="BC39"/>
      <c r="BE39"/>
      <c r="BI39"/>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4"/>
      <c r="CT39" s="4"/>
      <c r="CY39" s="42"/>
      <c r="DB39"/>
      <c r="DC39"/>
      <c r="DD39"/>
      <c r="DE39"/>
      <c r="DF39"/>
      <c r="DG39"/>
      <c r="DH39"/>
      <c r="DI39"/>
      <c r="DJ39"/>
      <c r="DK39"/>
      <c r="DL39"/>
      <c r="DM39"/>
      <c r="DN39"/>
      <c r="DO39"/>
      <c r="DP39"/>
      <c r="DQ39"/>
      <c r="DR39"/>
      <c r="EA39"/>
      <c r="EB39"/>
      <c r="EC39"/>
      <c r="ED39"/>
      <c r="EE39"/>
      <c r="EF39"/>
      <c r="EG39"/>
      <c r="EH39"/>
      <c r="EI39"/>
      <c r="FA39"/>
      <c r="FB39"/>
      <c r="FC39"/>
      <c r="FD39"/>
      <c r="FE39"/>
      <c r="FF39"/>
      <c r="FG39"/>
      <c r="FH39"/>
    </row>
    <row r="40" spans="1:164" ht="160" x14ac:dyDescent="0.2">
      <c r="A40" t="s">
        <v>185</v>
      </c>
      <c r="B40" s="125" t="s">
        <v>165</v>
      </c>
      <c r="C40" t="s">
        <v>166</v>
      </c>
      <c r="D40" s="1" t="s">
        <v>72</v>
      </c>
      <c r="E40" t="s">
        <v>73</v>
      </c>
      <c r="F40" t="s">
        <v>72</v>
      </c>
      <c r="G40" s="1" t="s">
        <v>73</v>
      </c>
      <c r="H40" s="1"/>
      <c r="I40" s="1">
        <v>4</v>
      </c>
      <c r="N40" s="1"/>
      <c r="O40" s="1"/>
      <c r="P40" s="1"/>
      <c r="Q40">
        <v>0</v>
      </c>
      <c r="R40">
        <v>0</v>
      </c>
      <c r="S40">
        <v>0</v>
      </c>
      <c r="T40">
        <v>0</v>
      </c>
      <c r="U40" t="s">
        <v>73</v>
      </c>
      <c r="V40">
        <v>0</v>
      </c>
      <c r="W40" s="1">
        <v>0</v>
      </c>
      <c r="X40">
        <v>0</v>
      </c>
      <c r="Y40" s="1">
        <v>0</v>
      </c>
      <c r="Z40">
        <v>0</v>
      </c>
      <c r="AA40" s="1">
        <v>0</v>
      </c>
      <c r="AB40" s="1">
        <v>0</v>
      </c>
      <c r="AC40" t="s">
        <v>73</v>
      </c>
      <c r="AD40" s="1">
        <v>6</v>
      </c>
      <c r="AE40" s="1">
        <v>6</v>
      </c>
      <c r="AF40" s="1">
        <v>0</v>
      </c>
      <c r="AG40" s="1">
        <v>0</v>
      </c>
      <c r="AH40">
        <v>0</v>
      </c>
      <c r="AI40" s="1">
        <v>10</v>
      </c>
      <c r="AJ40" s="1">
        <v>2</v>
      </c>
      <c r="AK40" s="1" t="s">
        <v>73</v>
      </c>
      <c r="AL40" s="1" t="s">
        <v>73</v>
      </c>
      <c r="AM40" s="63" t="s">
        <v>243</v>
      </c>
      <c r="AN40" s="1">
        <v>2030</v>
      </c>
      <c r="AO40" s="84">
        <v>45999.830659722225</v>
      </c>
      <c r="AP40" s="56">
        <v>46004.502511574072</v>
      </c>
      <c r="AQ40" s="1" t="s">
        <v>73</v>
      </c>
      <c r="AR40" s="1" t="s">
        <v>73</v>
      </c>
      <c r="AS40" s="1" t="s">
        <v>73</v>
      </c>
      <c r="AT40" s="1" t="s">
        <v>73</v>
      </c>
      <c r="AU40" s="1" t="s">
        <v>73</v>
      </c>
      <c r="AV40" s="1" t="s">
        <v>73</v>
      </c>
      <c r="AW40" s="1">
        <v>0</v>
      </c>
      <c r="AX40" t="s">
        <v>73</v>
      </c>
      <c r="AY40" s="1" t="s">
        <v>158</v>
      </c>
      <c r="AZ40" s="1" t="s">
        <v>158</v>
      </c>
      <c r="BA40" s="1" t="s">
        <v>158</v>
      </c>
      <c r="BC40"/>
      <c r="BE40"/>
      <c r="BI40"/>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4"/>
      <c r="CT40" s="4"/>
      <c r="CY40" s="42"/>
      <c r="DB40"/>
      <c r="DC40"/>
      <c r="DD40"/>
      <c r="DE40"/>
      <c r="DF40"/>
      <c r="DG40"/>
      <c r="DH40"/>
      <c r="DI40"/>
      <c r="DJ40"/>
      <c r="DK40"/>
      <c r="DL40"/>
      <c r="DM40"/>
      <c r="DN40"/>
      <c r="DO40"/>
      <c r="DP40"/>
      <c r="DQ40"/>
      <c r="DR40"/>
      <c r="EA40"/>
      <c r="EB40"/>
      <c r="EC40"/>
      <c r="ED40"/>
      <c r="EE40"/>
      <c r="EF40"/>
      <c r="EG40"/>
      <c r="EH40"/>
      <c r="EI40"/>
      <c r="FA40"/>
      <c r="FB40"/>
      <c r="FC40"/>
      <c r="FD40"/>
      <c r="FE40"/>
      <c r="FF40"/>
      <c r="FG40"/>
      <c r="FH40"/>
    </row>
    <row r="41" spans="1:164" ht="16" x14ac:dyDescent="0.2">
      <c r="A41" t="s">
        <v>185</v>
      </c>
      <c r="B41" s="125" t="s">
        <v>176</v>
      </c>
      <c r="C41" t="s">
        <v>177</v>
      </c>
      <c r="D41" s="1" t="s">
        <v>73</v>
      </c>
      <c r="E41" t="s">
        <v>72</v>
      </c>
      <c r="F41" t="s">
        <v>72</v>
      </c>
      <c r="G41" s="1" t="s">
        <v>73</v>
      </c>
      <c r="H41" s="1"/>
      <c r="I41" s="1">
        <v>4</v>
      </c>
      <c r="N41" s="1"/>
      <c r="O41" s="1"/>
      <c r="P41" s="1"/>
      <c r="Q41">
        <v>0</v>
      </c>
      <c r="R41">
        <v>0</v>
      </c>
      <c r="S41">
        <v>0</v>
      </c>
      <c r="T41">
        <v>0</v>
      </c>
      <c r="U41" t="s">
        <v>73</v>
      </c>
      <c r="V41">
        <v>0</v>
      </c>
      <c r="W41" s="1">
        <v>0</v>
      </c>
      <c r="X41">
        <v>0</v>
      </c>
      <c r="Y41" s="1">
        <v>0</v>
      </c>
      <c r="Z41">
        <v>0</v>
      </c>
      <c r="AA41" s="1">
        <v>0</v>
      </c>
      <c r="AB41" s="1">
        <v>0</v>
      </c>
      <c r="AC41" t="s">
        <v>73</v>
      </c>
      <c r="AD41" s="1">
        <v>6</v>
      </c>
      <c r="AE41" s="1">
        <v>6</v>
      </c>
      <c r="AF41" s="1">
        <v>0</v>
      </c>
      <c r="AG41" s="1">
        <v>6</v>
      </c>
      <c r="AH41">
        <v>0</v>
      </c>
      <c r="AI41" s="1">
        <v>40</v>
      </c>
      <c r="AJ41" s="1">
        <v>12</v>
      </c>
      <c r="AK41" s="1" t="s">
        <v>72</v>
      </c>
      <c r="AL41" s="1" t="s">
        <v>73</v>
      </c>
      <c r="AM41" s="63" t="s">
        <v>73</v>
      </c>
      <c r="AN41" s="1">
        <v>2028</v>
      </c>
      <c r="AO41" s="84">
        <v>45998.959953703707</v>
      </c>
      <c r="AP41" s="56">
        <v>46006.886087962965</v>
      </c>
      <c r="AQ41" s="1" t="s">
        <v>73</v>
      </c>
      <c r="AR41" s="1" t="s">
        <v>73</v>
      </c>
      <c r="AS41" s="1" t="s">
        <v>73</v>
      </c>
      <c r="AT41" s="1" t="s">
        <v>73</v>
      </c>
      <c r="AU41" s="1" t="s">
        <v>73</v>
      </c>
      <c r="AV41" s="1" t="s">
        <v>73</v>
      </c>
      <c r="AW41" s="1">
        <v>0</v>
      </c>
      <c r="AX41" t="s">
        <v>73</v>
      </c>
      <c r="AY41" s="1" t="s">
        <v>158</v>
      </c>
      <c r="AZ41" s="1" t="s">
        <v>158</v>
      </c>
      <c r="BA41" s="1" t="s">
        <v>158</v>
      </c>
      <c r="BC41"/>
      <c r="BE41"/>
      <c r="BI4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4"/>
      <c r="CT41" s="4"/>
      <c r="CY41" s="42"/>
      <c r="DB41"/>
      <c r="DC41"/>
      <c r="DD41"/>
      <c r="DE41"/>
      <c r="DF41"/>
      <c r="DG41"/>
      <c r="DH41"/>
      <c r="DI41"/>
      <c r="DJ41"/>
      <c r="DK41"/>
      <c r="DL41"/>
      <c r="DM41"/>
      <c r="DN41"/>
      <c r="DO41"/>
      <c r="DP41"/>
      <c r="DQ41"/>
      <c r="DR41"/>
      <c r="EA41"/>
      <c r="EB41"/>
      <c r="EC41"/>
      <c r="ED41"/>
      <c r="EE41"/>
      <c r="EF41"/>
      <c r="EG41"/>
      <c r="EH41"/>
      <c r="EI41"/>
      <c r="FA41"/>
      <c r="FB41"/>
      <c r="FC41"/>
      <c r="FD41"/>
      <c r="FE41"/>
      <c r="FF41"/>
      <c r="FG41"/>
      <c r="FH41"/>
    </row>
    <row r="42" spans="1:164" ht="16" x14ac:dyDescent="0.2">
      <c r="A42" t="s">
        <v>185</v>
      </c>
      <c r="B42" s="125" t="s">
        <v>182</v>
      </c>
      <c r="C42" t="s">
        <v>183</v>
      </c>
      <c r="D42" s="1" t="s">
        <v>73</v>
      </c>
      <c r="E42" t="s">
        <v>72</v>
      </c>
      <c r="F42" t="s">
        <v>72</v>
      </c>
      <c r="G42" s="1" t="s">
        <v>73</v>
      </c>
      <c r="H42" s="1"/>
      <c r="I42" s="1">
        <v>8</v>
      </c>
      <c r="J42">
        <v>3</v>
      </c>
      <c r="N42" s="1"/>
      <c r="O42" s="1"/>
      <c r="P42" s="1"/>
      <c r="Q42">
        <v>0</v>
      </c>
      <c r="R42">
        <v>0</v>
      </c>
      <c r="S42">
        <v>0</v>
      </c>
      <c r="T42">
        <v>0</v>
      </c>
      <c r="U42" t="s">
        <v>73</v>
      </c>
      <c r="V42">
        <v>0</v>
      </c>
      <c r="W42" s="1">
        <v>0</v>
      </c>
      <c r="X42">
        <v>0</v>
      </c>
      <c r="Y42" s="1">
        <v>0</v>
      </c>
      <c r="Z42">
        <v>0</v>
      </c>
      <c r="AA42" s="1">
        <v>0</v>
      </c>
      <c r="AB42" s="1">
        <v>0</v>
      </c>
      <c r="AC42" t="s">
        <v>72</v>
      </c>
      <c r="AD42" s="1">
        <v>0</v>
      </c>
      <c r="AE42" s="1">
        <v>0</v>
      </c>
      <c r="AF42" s="1">
        <v>0</v>
      </c>
      <c r="AG42" s="1">
        <v>0</v>
      </c>
      <c r="AH42">
        <v>1</v>
      </c>
      <c r="AI42" s="1">
        <v>35</v>
      </c>
      <c r="AJ42" s="1">
        <v>4</v>
      </c>
      <c r="AK42" s="1" t="s">
        <v>73</v>
      </c>
      <c r="AL42" s="1" t="s">
        <v>73</v>
      </c>
      <c r="AM42" s="63" t="s">
        <v>73</v>
      </c>
      <c r="AN42" s="1">
        <v>2025</v>
      </c>
      <c r="AO42" s="84">
        <v>45998.524965277778</v>
      </c>
      <c r="AP42" s="56">
        <v>45998.483298611114</v>
      </c>
      <c r="AQ42" s="1" t="s">
        <v>73</v>
      </c>
      <c r="AR42" s="1" t="s">
        <v>73</v>
      </c>
      <c r="AS42" s="1" t="s">
        <v>73</v>
      </c>
      <c r="AT42" s="1" t="s">
        <v>73</v>
      </c>
      <c r="AU42" s="1" t="s">
        <v>73</v>
      </c>
      <c r="AV42" s="1" t="s">
        <v>73</v>
      </c>
      <c r="AW42" s="1">
        <v>0</v>
      </c>
      <c r="AX42" t="s">
        <v>73</v>
      </c>
      <c r="AY42" s="1" t="s">
        <v>158</v>
      </c>
      <c r="AZ42" s="1" t="s">
        <v>158</v>
      </c>
      <c r="BA42" s="1" t="s">
        <v>158</v>
      </c>
      <c r="BC42"/>
      <c r="BE42"/>
      <c r="BI42"/>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4"/>
      <c r="CT42" s="4"/>
      <c r="CY42" s="42"/>
      <c r="DB42"/>
      <c r="DC42"/>
      <c r="DD42"/>
      <c r="DE42"/>
      <c r="DF42"/>
      <c r="DG42"/>
      <c r="DH42"/>
      <c r="DI42"/>
      <c r="DJ42"/>
      <c r="DK42"/>
      <c r="DL42"/>
      <c r="DM42"/>
      <c r="DN42"/>
      <c r="DO42"/>
      <c r="DP42"/>
      <c r="DQ42"/>
      <c r="DR42"/>
      <c r="EA42"/>
      <c r="EB42"/>
      <c r="EC42"/>
      <c r="ED42"/>
      <c r="EE42"/>
      <c r="EF42"/>
      <c r="EG42"/>
      <c r="EH42"/>
      <c r="EI42"/>
      <c r="FA42"/>
      <c r="FB42"/>
      <c r="FC42"/>
      <c r="FD42"/>
      <c r="FE42"/>
      <c r="FF42"/>
      <c r="FG42"/>
      <c r="FH42"/>
    </row>
    <row r="43" spans="1:164" x14ac:dyDescent="0.2">
      <c r="A43" t="s">
        <v>79</v>
      </c>
      <c r="C43">
        <f>SUBTOTAL(103,FSD[Naam vereniging])</f>
        <v>36</v>
      </c>
      <c r="D43" s="1">
        <f>COUNTIF(FSD[Delegatie],"x")</f>
        <v>7</v>
      </c>
      <c r="E43" s="1">
        <f>COUNTIF(FSD[Muziekkorps tijdens mars en defilé],"x")</f>
        <v>32</v>
      </c>
      <c r="F43" s="1">
        <f>COUNTIF(FSD[Deelname jeugdkoningschieten],"x")</f>
        <v>27</v>
      </c>
      <c r="G43" s="7">
        <f>COUNTIF(FSD[Maj. Senioren jureren bij mars],"x")</f>
        <v>5</v>
      </c>
      <c r="H43" s="7">
        <f>COUNTIF(FSD[Maj. Jeugd jureren bij mars],"x")</f>
        <v>5</v>
      </c>
      <c r="I43" s="1">
        <f>SUBTOTAL(109,FSD[Korps senioren])</f>
        <v>218</v>
      </c>
      <c r="J43" s="1">
        <f>SUBTOTAL(109,FSD[Junioren korps 1])</f>
        <v>72</v>
      </c>
      <c r="K43" s="1">
        <f>SUBTOTAL(109,FSD[Junioren korps 2])</f>
        <v>0</v>
      </c>
      <c r="L43" s="1">
        <f>SUBTOTAL(109,FSD[Aspiranten korps 1])</f>
        <v>45</v>
      </c>
      <c r="M43" s="1">
        <f>SUBTOTAL(109,FSD[Aspiranten korps 2])</f>
        <v>0</v>
      </c>
      <c r="N43" s="1">
        <f>SUBTOTAL(109,FSD[Acrobatisch senioren])</f>
        <v>47</v>
      </c>
      <c r="O43" s="1">
        <f>SUBTOTAL(109,FSD[Acrobatisch junioren])</f>
        <v>10</v>
      </c>
      <c r="P43" s="1">
        <f>SUBTOTAL(109,FSD[Acrobatisch aspiranten])</f>
        <v>0</v>
      </c>
      <c r="Q43">
        <f>SUBTOTAL(109,FSD[Opgeven vendeliers ind.])</f>
        <v>36</v>
      </c>
      <c r="R43">
        <f>SUBTOTAL(109,FSD[Acrob. senioren indiv.])</f>
        <v>15</v>
      </c>
      <c r="S43">
        <f>SUBTOTAL(109,FSD[Acrob. junioren indiv.])</f>
        <v>14</v>
      </c>
      <c r="T43">
        <f>SUBTOTAL(109,FSD[Acrob. aspiranten indiv.])</f>
        <v>7</v>
      </c>
      <c r="U43" s="7">
        <f>COUNTIF(FSD[Deelname hoofdkorps],"x")</f>
        <v>7</v>
      </c>
      <c r="V43" s="1">
        <f>SUBTOTAL(109,FSD[Groepen, teams, ensembles en duo''s])</f>
        <v>36</v>
      </c>
      <c r="W43" s="1">
        <f>SUBTOTAL(109,FSD[Aantal opgegeven majorettes])</f>
        <v>107</v>
      </c>
      <c r="X43">
        <f>SUBTOTAL(109,FSD[Opgeven bielemannen])</f>
        <v>80</v>
      </c>
      <c r="Y43" s="1">
        <f>SUBTOTAL(109,FSD[Senioren])</f>
        <v>61</v>
      </c>
      <c r="Z43" s="1">
        <f>SUBTOTAL(109,FSD[Jong Volwassene])</f>
        <v>13</v>
      </c>
      <c r="AA43" s="1">
        <f>SUBTOTAL(109,FSD[Junioren])</f>
        <v>1</v>
      </c>
      <c r="AB43" s="1">
        <f>SUBTOTAL(109,FSD[Aspiranten])</f>
        <v>5</v>
      </c>
      <c r="AC43" s="7">
        <f>COUNTIF(FSD[Deelname marketentsters],"x")</f>
        <v>9</v>
      </c>
      <c r="AD43">
        <f>SUBTOTAL(109,FSD[Aantal luchtgeweerschutters])</f>
        <v>138</v>
      </c>
      <c r="AE43" s="1">
        <f>SUBTOTAL(109,FSD[Aantal luchtpistoolschutters])</f>
        <v>109</v>
      </c>
      <c r="AF43">
        <f>SUBTOTAL(109,FSD[Aantal handboogschutters])</f>
        <v>13</v>
      </c>
      <c r="AG43" s="1">
        <f>SUBTOTAL(109,FSD[Aantal kruisboogschutters])</f>
        <v>101</v>
      </c>
      <c r="AH43">
        <f>SUBTOTAL(109,FSD[(Aantal jeugdkorpsen])</f>
        <v>24</v>
      </c>
      <c r="AI43" s="1">
        <f>SUBTOTAL(109,FSD[Totaal aantal deelnemers])</f>
        <v>1988</v>
      </c>
      <c r="AJ43" s="1">
        <f>SUBTOTAL(109,FSD[Waarvan aantal jeugd (t/m 15 jaar)])</f>
        <v>385</v>
      </c>
      <c r="AK43" s="55">
        <f>COUNTIF(FSD[Kanon etc.],"x")</f>
        <v>13</v>
      </c>
      <c r="AL43" s="1">
        <f>COUNTIF(FSD[Paarden en/of koetsen],"x")</f>
        <v>3</v>
      </c>
      <c r="AM43" s="44"/>
      <c r="AN43" s="1"/>
      <c r="AW43" s="1">
        <f>SUBTOTAL(109,FSD[Korps bestaat uit ... deelnemers (hoofdkorps)])</f>
        <v>217</v>
      </c>
      <c r="AX43"/>
      <c r="BC43"/>
      <c r="BE43"/>
      <c r="BI43"/>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4"/>
      <c r="CT43" s="4"/>
      <c r="CY43" s="42"/>
      <c r="DB43"/>
      <c r="DC43"/>
      <c r="DD43"/>
      <c r="DE43"/>
      <c r="DF43"/>
      <c r="DG43"/>
      <c r="DH43"/>
      <c r="DI43"/>
      <c r="DJ43"/>
      <c r="DK43"/>
      <c r="DL43"/>
      <c r="DM43"/>
      <c r="DN43"/>
      <c r="DO43"/>
      <c r="DP43"/>
      <c r="DQ43"/>
      <c r="DR43"/>
      <c r="EA43"/>
      <c r="EB43"/>
      <c r="EC43"/>
      <c r="ED43"/>
      <c r="EE43"/>
      <c r="EF43"/>
      <c r="EG43"/>
      <c r="EH43"/>
      <c r="EI43"/>
      <c r="FA43"/>
      <c r="FB43"/>
      <c r="FC43"/>
      <c r="FD43"/>
      <c r="FE43"/>
      <c r="FF43"/>
      <c r="FG43"/>
      <c r="FH43"/>
    </row>
    <row r="44" spans="1:164" x14ac:dyDescent="0.2">
      <c r="BC44"/>
      <c r="BE44"/>
      <c r="BI44"/>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4"/>
      <c r="CT44" s="4"/>
      <c r="CY44" s="42"/>
      <c r="DB44"/>
      <c r="DC44"/>
      <c r="DD44"/>
      <c r="DE44"/>
      <c r="DF44"/>
      <c r="DG44"/>
      <c r="DH44"/>
      <c r="DI44"/>
      <c r="DJ44"/>
      <c r="DK44"/>
      <c r="DL44"/>
      <c r="DM44"/>
      <c r="DN44"/>
      <c r="DO44"/>
      <c r="DP44"/>
      <c r="DQ44"/>
      <c r="DR44"/>
      <c r="EA44"/>
      <c r="EB44"/>
      <c r="EC44"/>
      <c r="ED44"/>
      <c r="EE44"/>
      <c r="EF44"/>
      <c r="EG44"/>
      <c r="EH44"/>
      <c r="EI44"/>
      <c r="FA44"/>
      <c r="FB44"/>
      <c r="FC44"/>
      <c r="FD44"/>
      <c r="FE44"/>
      <c r="FF44"/>
      <c r="FG44"/>
      <c r="FH44"/>
    </row>
    <row r="45" spans="1:164" x14ac:dyDescent="0.2">
      <c r="C45" s="23"/>
      <c r="BC45"/>
      <c r="BE45"/>
      <c r="BI45"/>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4"/>
      <c r="CT45" s="4"/>
      <c r="CY45" s="42"/>
      <c r="DB45"/>
      <c r="DC45"/>
      <c r="DD45"/>
      <c r="DE45"/>
      <c r="DF45"/>
      <c r="DG45"/>
      <c r="DH45"/>
      <c r="DI45"/>
      <c r="DJ45"/>
      <c r="DK45"/>
      <c r="DL45"/>
      <c r="DM45"/>
      <c r="DN45"/>
      <c r="DO45"/>
      <c r="DP45"/>
      <c r="DQ45"/>
      <c r="DR45"/>
      <c r="EA45"/>
      <c r="EB45"/>
      <c r="EC45"/>
      <c r="ED45"/>
      <c r="EE45"/>
      <c r="EF45"/>
      <c r="EG45"/>
      <c r="EH45"/>
      <c r="EI45"/>
      <c r="FA45"/>
      <c r="FB45"/>
      <c r="FC45"/>
      <c r="FD45"/>
      <c r="FE45"/>
      <c r="FF45"/>
      <c r="FG45"/>
      <c r="FH45"/>
    </row>
    <row r="46" spans="1:164" x14ac:dyDescent="0.2">
      <c r="BC46"/>
      <c r="BE46"/>
      <c r="BI46"/>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4"/>
      <c r="CT46" s="4"/>
      <c r="CY46" s="42"/>
      <c r="DB46"/>
      <c r="DC46"/>
      <c r="DD46"/>
      <c r="DE46"/>
      <c r="DF46"/>
      <c r="DG46"/>
      <c r="DH46"/>
      <c r="DI46"/>
      <c r="DJ46"/>
      <c r="DK46"/>
      <c r="DL46"/>
      <c r="DM46"/>
      <c r="DN46"/>
      <c r="DO46"/>
      <c r="DP46"/>
      <c r="DQ46"/>
      <c r="DR46"/>
      <c r="EA46"/>
      <c r="EB46"/>
      <c r="EC46"/>
      <c r="ED46"/>
      <c r="EE46"/>
      <c r="EF46"/>
      <c r="EG46"/>
      <c r="EH46"/>
      <c r="EI46"/>
      <c r="FA46"/>
      <c r="FB46"/>
      <c r="FC46"/>
      <c r="FD46"/>
      <c r="FE46"/>
      <c r="FF46"/>
      <c r="FG46"/>
      <c r="FH46"/>
    </row>
    <row r="47" spans="1:164" x14ac:dyDescent="0.2">
      <c r="BC47"/>
      <c r="BE47"/>
      <c r="BI47"/>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4"/>
      <c r="CT47" s="4"/>
      <c r="CY47" s="42"/>
      <c r="DB47"/>
      <c r="DC47"/>
      <c r="DD47"/>
      <c r="DE47"/>
      <c r="DF47"/>
      <c r="DG47"/>
      <c r="DH47"/>
      <c r="DI47"/>
      <c r="DJ47"/>
      <c r="DK47"/>
      <c r="DL47"/>
      <c r="DM47"/>
      <c r="DN47"/>
      <c r="DO47"/>
      <c r="DP47"/>
      <c r="DQ47"/>
      <c r="DR47"/>
      <c r="EA47"/>
      <c r="EB47"/>
      <c r="EC47"/>
      <c r="ED47"/>
      <c r="EE47"/>
      <c r="EF47"/>
      <c r="EG47"/>
      <c r="EH47"/>
      <c r="EI47"/>
      <c r="FA47"/>
      <c r="FB47"/>
      <c r="FC47"/>
      <c r="FD47"/>
      <c r="FE47"/>
      <c r="FF47"/>
      <c r="FG47"/>
      <c r="FH47"/>
    </row>
    <row r="48" spans="1:164" x14ac:dyDescent="0.2">
      <c r="BC48"/>
      <c r="BE48"/>
      <c r="BI48"/>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4"/>
      <c r="CT48" s="4"/>
      <c r="CY48" s="42"/>
      <c r="DB48"/>
      <c r="DC48"/>
      <c r="DD48"/>
      <c r="DE48"/>
      <c r="DF48"/>
      <c r="DG48"/>
      <c r="DH48"/>
      <c r="DI48"/>
      <c r="DJ48"/>
      <c r="DK48"/>
      <c r="DL48"/>
      <c r="DM48"/>
      <c r="DN48"/>
      <c r="DO48"/>
      <c r="DP48"/>
      <c r="DQ48"/>
      <c r="DR48"/>
      <c r="EA48"/>
      <c r="EB48"/>
      <c r="EC48"/>
      <c r="ED48"/>
      <c r="EE48"/>
      <c r="EF48"/>
      <c r="EG48"/>
      <c r="EH48"/>
      <c r="EI48"/>
      <c r="FA48"/>
      <c r="FB48"/>
      <c r="FC48"/>
      <c r="FD48"/>
      <c r="FE48"/>
      <c r="FF48"/>
      <c r="FG48"/>
      <c r="FH48"/>
    </row>
  </sheetData>
  <mergeCells count="13">
    <mergeCell ref="A1:BA1"/>
    <mergeCell ref="A2:BA2"/>
    <mergeCell ref="D3:H4"/>
    <mergeCell ref="J3:T3"/>
    <mergeCell ref="X3:AB4"/>
    <mergeCell ref="AC3:AC4"/>
    <mergeCell ref="AD3:AH4"/>
    <mergeCell ref="AI3:AQ4"/>
    <mergeCell ref="AR3:AW4"/>
    <mergeCell ref="I4:M4"/>
    <mergeCell ref="N4:P4"/>
    <mergeCell ref="AX3:BA4"/>
    <mergeCell ref="Q4:T4"/>
  </mergeCells>
  <phoneticPr fontId="2" type="noConversion"/>
  <pageMargins left="0.25" right="0.25" top="0.75" bottom="0.75" header="0.3" footer="0.3"/>
  <pageSetup paperSize="9" scale="50" fitToHeight="0" orientation="landscape" horizont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46F-204B-1143-9B35-B64FF907989B}">
  <dimension ref="A1:AU39"/>
  <sheetViews>
    <sheetView tabSelected="1" topLeftCell="A5" workbookViewId="0">
      <selection activeCell="C41" sqref="C41"/>
    </sheetView>
  </sheetViews>
  <sheetFormatPr baseColWidth="10" defaultRowHeight="15" x14ac:dyDescent="0.2"/>
  <cols>
    <col min="1" max="1" width="13.33203125" bestFit="1" customWidth="1"/>
    <col min="2" max="2" width="15" bestFit="1" customWidth="1"/>
    <col min="3" max="3" width="8.83203125" bestFit="1" customWidth="1"/>
    <col min="4" max="4" width="20.5" bestFit="1" customWidth="1"/>
    <col min="5" max="5" width="58.83203125" bestFit="1" customWidth="1"/>
    <col min="6" max="6" width="11.33203125" bestFit="1" customWidth="1"/>
    <col min="7" max="10" width="11" bestFit="1" customWidth="1"/>
    <col min="11" max="12" width="3.6640625" bestFit="1" customWidth="1"/>
    <col min="13" max="13" width="6.33203125" bestFit="1" customWidth="1"/>
    <col min="14" max="15" width="3.6640625" bestFit="1" customWidth="1"/>
    <col min="16" max="16" width="6.33203125" bestFit="1" customWidth="1"/>
    <col min="17" max="17" width="4.1640625" bestFit="1" customWidth="1"/>
    <col min="18" max="18" width="3.6640625" bestFit="1" customWidth="1"/>
    <col min="19" max="19" width="80.6640625" bestFit="1" customWidth="1"/>
    <col min="20" max="20" width="15.1640625" bestFit="1" customWidth="1"/>
    <col min="21" max="21" width="26.33203125" bestFit="1" customWidth="1"/>
    <col min="22" max="22" width="22.83203125" bestFit="1" customWidth="1"/>
    <col min="23" max="23" width="26.33203125" bestFit="1" customWidth="1"/>
    <col min="24" max="24" width="22.83203125" bestFit="1" customWidth="1"/>
    <col min="25" max="25" width="26.33203125" bestFit="1" customWidth="1"/>
    <col min="26" max="26" width="22.83203125" bestFit="1" customWidth="1"/>
    <col min="27" max="27" width="26.33203125" bestFit="1" customWidth="1"/>
    <col min="28" max="28" width="22.83203125" bestFit="1" customWidth="1"/>
    <col min="29" max="29" width="26.33203125" bestFit="1" customWidth="1"/>
    <col min="30" max="30" width="22.83203125" bestFit="1" customWidth="1"/>
    <col min="31" max="31" width="26.33203125" bestFit="1" customWidth="1"/>
    <col min="32" max="32" width="22.83203125" bestFit="1" customWidth="1"/>
    <col min="33" max="35" width="3.6640625" bestFit="1" customWidth="1"/>
    <col min="36" max="36" width="11.33203125" bestFit="1" customWidth="1"/>
    <col min="37" max="37" width="14" bestFit="1" customWidth="1"/>
    <col min="38" max="38" width="11.33203125" bestFit="1" customWidth="1"/>
    <col min="39" max="39" width="14" bestFit="1" customWidth="1"/>
    <col min="40" max="40" width="11.33203125" bestFit="1" customWidth="1"/>
    <col min="41" max="41" width="14" bestFit="1" customWidth="1"/>
    <col min="42" max="42" width="11.33203125" bestFit="1" customWidth="1"/>
    <col min="43" max="45" width="3.6640625" bestFit="1" customWidth="1"/>
    <col min="46" max="46" width="14.83203125" bestFit="1" customWidth="1"/>
    <col min="47" max="47" width="15.1640625" customWidth="1"/>
    <col min="48" max="48" width="25.33203125" bestFit="1" customWidth="1"/>
    <col min="49" max="49" width="21.83203125" bestFit="1" customWidth="1"/>
    <col min="50" max="50" width="25.33203125" bestFit="1" customWidth="1"/>
    <col min="51" max="51" width="21.83203125" bestFit="1" customWidth="1"/>
    <col min="52" max="52" width="25.33203125" bestFit="1" customWidth="1"/>
    <col min="53" max="53" width="21.83203125" bestFit="1" customWidth="1"/>
    <col min="54" max="54" width="25.33203125" bestFit="1" customWidth="1"/>
    <col min="55" max="55" width="21.83203125" bestFit="1" customWidth="1"/>
    <col min="56" max="56" width="25.33203125" bestFit="1" customWidth="1"/>
    <col min="57" max="57" width="21.83203125" bestFit="1" customWidth="1"/>
    <col min="58" max="58" width="25.33203125" bestFit="1" customWidth="1"/>
    <col min="59" max="59" width="21.83203125" bestFit="1" customWidth="1"/>
    <col min="60" max="60" width="25.33203125" bestFit="1" customWidth="1"/>
    <col min="61" max="61" width="21.83203125" bestFit="1" customWidth="1"/>
    <col min="62" max="62" width="25.33203125" bestFit="1" customWidth="1"/>
    <col min="63" max="63" width="21.83203125" bestFit="1" customWidth="1"/>
    <col min="64" max="64" width="26.33203125" bestFit="1" customWidth="1"/>
    <col min="65" max="65" width="22.83203125" bestFit="1" customWidth="1"/>
    <col min="66" max="66" width="26.33203125" bestFit="1" customWidth="1"/>
    <col min="67" max="67" width="22.83203125" bestFit="1" customWidth="1"/>
    <col min="68" max="68" width="26.33203125" bestFit="1" customWidth="1"/>
    <col min="69" max="69" width="22.83203125" bestFit="1" customWidth="1"/>
    <col min="70" max="70" width="26.33203125" bestFit="1" customWidth="1"/>
    <col min="71" max="71" width="22.83203125" bestFit="1" customWidth="1"/>
    <col min="72" max="72" width="26.33203125" bestFit="1" customWidth="1"/>
    <col min="73" max="73" width="22.83203125" bestFit="1" customWidth="1"/>
    <col min="74" max="74" width="26.33203125" bestFit="1" customWidth="1"/>
    <col min="75" max="75" width="22.83203125" bestFit="1" customWidth="1"/>
    <col min="76" max="76" width="26.33203125" bestFit="1" customWidth="1"/>
    <col min="77" max="77" width="22.83203125" bestFit="1" customWidth="1"/>
    <col min="78" max="78" width="26.33203125" bestFit="1" customWidth="1"/>
    <col min="79" max="79" width="22.83203125" bestFit="1" customWidth="1"/>
    <col min="80" max="80" width="26.33203125" bestFit="1" customWidth="1"/>
    <col min="81" max="81" width="22.83203125" bestFit="1" customWidth="1"/>
    <col min="82" max="82" width="26.33203125" bestFit="1" customWidth="1"/>
    <col min="83" max="83" width="22.83203125" bestFit="1" customWidth="1"/>
    <col min="84" max="84" width="26.33203125" bestFit="1" customWidth="1"/>
    <col min="85" max="85" width="22.83203125" bestFit="1" customWidth="1"/>
    <col min="86" max="86" width="10.33203125" bestFit="1" customWidth="1"/>
    <col min="87" max="87" width="13" bestFit="1" customWidth="1"/>
    <col min="88" max="88" width="10.33203125" bestFit="1" customWidth="1"/>
    <col min="89" max="89" width="13" bestFit="1" customWidth="1"/>
    <col min="90" max="90" width="10.33203125" bestFit="1" customWidth="1"/>
    <col min="91" max="91" width="13" bestFit="1" customWidth="1"/>
    <col min="92" max="92" width="10.33203125" bestFit="1" customWidth="1"/>
    <col min="93" max="93" width="13" bestFit="1" customWidth="1"/>
    <col min="94" max="94" width="10.33203125" bestFit="1" customWidth="1"/>
    <col min="95" max="95" width="13" bestFit="1" customWidth="1"/>
    <col min="96" max="96" width="10.33203125" bestFit="1" customWidth="1"/>
    <col min="97" max="97" width="13" bestFit="1" customWidth="1"/>
    <col min="98" max="98" width="10.33203125" bestFit="1" customWidth="1"/>
    <col min="99" max="99" width="13" bestFit="1" customWidth="1"/>
    <col min="100" max="100" width="10.33203125" bestFit="1" customWidth="1"/>
    <col min="101" max="101" width="13" bestFit="1" customWidth="1"/>
    <col min="102" max="102" width="10.33203125" bestFit="1" customWidth="1"/>
    <col min="103" max="103" width="13" customWidth="1"/>
    <col min="104" max="104" width="11.33203125" bestFit="1" customWidth="1"/>
    <col min="105" max="105" width="14" bestFit="1" customWidth="1"/>
    <col min="106" max="106" width="11.33203125" bestFit="1" customWidth="1"/>
    <col min="107" max="107" width="14" bestFit="1" customWidth="1"/>
    <col min="108" max="108" width="11.33203125" bestFit="1" customWidth="1"/>
    <col min="109" max="109" width="14" bestFit="1" customWidth="1"/>
    <col min="110" max="110" width="11.33203125" bestFit="1" customWidth="1"/>
    <col min="111" max="111" width="14" customWidth="1"/>
    <col min="112" max="112" width="11.33203125" bestFit="1" customWidth="1"/>
    <col min="113" max="113" width="14" customWidth="1"/>
    <col min="114" max="114" width="11.33203125" bestFit="1" customWidth="1"/>
    <col min="115" max="115" width="14" customWidth="1"/>
    <col min="116" max="116" width="11.33203125" bestFit="1" customWidth="1"/>
    <col min="117" max="117" width="14" customWidth="1"/>
    <col min="118" max="118" width="11.33203125" bestFit="1" customWidth="1"/>
    <col min="119" max="119" width="14" customWidth="1"/>
    <col min="120" max="120" width="11.33203125" bestFit="1" customWidth="1"/>
    <col min="121" max="121" width="14" customWidth="1"/>
    <col min="122" max="122" width="11.33203125" bestFit="1" customWidth="1"/>
    <col min="123" max="123" width="14" customWidth="1"/>
    <col min="124" max="124" width="11.33203125" bestFit="1" customWidth="1"/>
    <col min="125" max="125" width="14" customWidth="1"/>
    <col min="126" max="126" width="7.33203125" bestFit="1" customWidth="1"/>
    <col min="127" max="127" width="7.1640625" bestFit="1" customWidth="1"/>
    <col min="128" max="128" width="7.6640625" bestFit="1" customWidth="1"/>
  </cols>
  <sheetData>
    <row r="1" spans="1:47" ht="24" x14ac:dyDescent="0.3">
      <c r="C1" s="123" t="s">
        <v>169</v>
      </c>
      <c r="D1" s="123"/>
      <c r="E1" s="123"/>
      <c r="F1" s="123"/>
      <c r="G1" s="123"/>
    </row>
    <row r="2" spans="1:47" ht="16" x14ac:dyDescent="0.2">
      <c r="C2" s="124" t="s">
        <v>170</v>
      </c>
      <c r="D2" s="124"/>
      <c r="E2" s="124"/>
      <c r="F2" s="124"/>
      <c r="G2" s="124"/>
    </row>
    <row r="4" spans="1:47" ht="15" customHeight="1" thickBot="1" x14ac:dyDescent="0.25"/>
    <row r="5" spans="1:47" s="28" customFormat="1" ht="61" customHeight="1" thickBot="1" x14ac:dyDescent="0.25">
      <c r="A5" s="121"/>
      <c r="B5" s="121"/>
      <c r="C5" s="121"/>
      <c r="D5" s="121"/>
      <c r="E5" s="122"/>
      <c r="F5" s="112" t="s">
        <v>137</v>
      </c>
      <c r="G5" s="113"/>
      <c r="H5" s="113"/>
      <c r="I5" s="113"/>
      <c r="J5" s="114"/>
      <c r="K5" s="115" t="s">
        <v>138</v>
      </c>
      <c r="L5" s="116"/>
      <c r="M5" s="117"/>
      <c r="N5" s="118" t="s">
        <v>136</v>
      </c>
      <c r="O5" s="119"/>
      <c r="P5" s="120"/>
      <c r="Q5" s="27"/>
      <c r="R5" s="27"/>
      <c r="S5" s="27"/>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s="28" customFormat="1" ht="115" x14ac:dyDescent="0.2">
      <c r="A6" s="2" t="s">
        <v>51</v>
      </c>
      <c r="B6" s="27" t="s">
        <v>52</v>
      </c>
      <c r="C6" s="25" t="s">
        <v>88</v>
      </c>
      <c r="D6" s="25" t="s">
        <v>131</v>
      </c>
      <c r="E6" s="26" t="s">
        <v>19</v>
      </c>
      <c r="F6" s="59" t="s">
        <v>89</v>
      </c>
      <c r="G6" s="60" t="s">
        <v>99</v>
      </c>
      <c r="H6" s="60" t="s">
        <v>100</v>
      </c>
      <c r="I6" s="60" t="s">
        <v>101</v>
      </c>
      <c r="J6" s="60" t="s">
        <v>102</v>
      </c>
      <c r="K6" s="65" t="s">
        <v>90</v>
      </c>
      <c r="L6" s="64" t="s">
        <v>91</v>
      </c>
      <c r="M6" s="64" t="s">
        <v>92</v>
      </c>
      <c r="N6" s="57" t="s">
        <v>133</v>
      </c>
      <c r="O6" s="57" t="s">
        <v>134</v>
      </c>
      <c r="P6" s="57" t="s">
        <v>135</v>
      </c>
      <c r="Q6" s="58" t="s">
        <v>94</v>
      </c>
      <c r="R6" s="58" t="s">
        <v>95</v>
      </c>
      <c r="S6" s="83" t="s">
        <v>93</v>
      </c>
      <c r="T6" s="27" t="s">
        <v>103</v>
      </c>
    </row>
    <row r="7" spans="1:47" ht="48" x14ac:dyDescent="0.2">
      <c r="A7">
        <v>2019</v>
      </c>
      <c r="B7" s="56">
        <v>45992.820740740739</v>
      </c>
      <c r="C7" s="125" t="s">
        <v>132</v>
      </c>
      <c r="D7" s="125" t="s">
        <v>165</v>
      </c>
      <c r="E7" s="125" t="s">
        <v>166</v>
      </c>
      <c r="F7">
        <v>4</v>
      </c>
      <c r="G7">
        <v>0</v>
      </c>
      <c r="H7">
        <v>0</v>
      </c>
      <c r="I7">
        <v>0</v>
      </c>
      <c r="J7">
        <v>0</v>
      </c>
      <c r="K7">
        <v>0</v>
      </c>
      <c r="L7">
        <v>0</v>
      </c>
      <c r="M7">
        <v>0</v>
      </c>
      <c r="N7">
        <v>0</v>
      </c>
      <c r="O7">
        <v>0</v>
      </c>
      <c r="P7">
        <v>0</v>
      </c>
      <c r="Q7">
        <v>4</v>
      </c>
      <c r="R7">
        <v>0</v>
      </c>
      <c r="S7" s="126" t="s">
        <v>195</v>
      </c>
      <c r="T7" s="56">
        <v>46004.47452546296</v>
      </c>
    </row>
    <row r="8" spans="1:47" x14ac:dyDescent="0.2">
      <c r="A8">
        <v>2026</v>
      </c>
      <c r="B8" s="56">
        <v>45998.525891203702</v>
      </c>
      <c r="C8" s="125" t="s">
        <v>132</v>
      </c>
      <c r="D8" s="125" t="s">
        <v>182</v>
      </c>
      <c r="E8" s="125" t="s">
        <v>183</v>
      </c>
      <c r="F8">
        <v>0</v>
      </c>
      <c r="G8">
        <v>3</v>
      </c>
      <c r="H8">
        <v>0</v>
      </c>
      <c r="I8">
        <v>0</v>
      </c>
      <c r="J8">
        <v>0</v>
      </c>
      <c r="K8">
        <v>0</v>
      </c>
      <c r="L8">
        <v>0</v>
      </c>
      <c r="M8">
        <v>0</v>
      </c>
      <c r="N8">
        <v>0</v>
      </c>
      <c r="O8">
        <v>0</v>
      </c>
      <c r="P8">
        <v>0</v>
      </c>
      <c r="Q8">
        <v>3</v>
      </c>
      <c r="R8">
        <v>0</v>
      </c>
      <c r="S8" s="125" t="s">
        <v>73</v>
      </c>
      <c r="T8" s="56">
        <v>46004.474756944444</v>
      </c>
    </row>
    <row r="9" spans="1:47" x14ac:dyDescent="0.2">
      <c r="A9">
        <v>2031</v>
      </c>
      <c r="B9" s="56">
        <v>45999.85560185185</v>
      </c>
      <c r="C9" s="125" t="s">
        <v>132</v>
      </c>
      <c r="D9" s="125" t="s">
        <v>192</v>
      </c>
      <c r="E9" s="125" t="s">
        <v>193</v>
      </c>
      <c r="F9">
        <v>0</v>
      </c>
      <c r="G9">
        <v>0</v>
      </c>
      <c r="H9">
        <v>0</v>
      </c>
      <c r="I9">
        <v>0</v>
      </c>
      <c r="J9">
        <v>0</v>
      </c>
      <c r="K9">
        <v>0</v>
      </c>
      <c r="L9">
        <v>0</v>
      </c>
      <c r="M9">
        <v>0</v>
      </c>
      <c r="N9">
        <v>0</v>
      </c>
      <c r="O9">
        <v>0</v>
      </c>
      <c r="P9">
        <v>0</v>
      </c>
      <c r="Q9">
        <v>0</v>
      </c>
      <c r="R9">
        <v>0</v>
      </c>
      <c r="S9" s="125" t="s">
        <v>73</v>
      </c>
      <c r="T9" s="56">
        <v>46004.475370370368</v>
      </c>
    </row>
    <row r="10" spans="1:47" x14ac:dyDescent="0.2">
      <c r="A10">
        <v>2040</v>
      </c>
      <c r="B10" s="56">
        <v>46001.895069444443</v>
      </c>
      <c r="C10" s="125" t="s">
        <v>132</v>
      </c>
      <c r="D10" s="125" t="s">
        <v>206</v>
      </c>
      <c r="E10" s="125" t="s">
        <v>207</v>
      </c>
      <c r="F10">
        <v>4</v>
      </c>
      <c r="G10">
        <v>3</v>
      </c>
      <c r="H10">
        <v>0</v>
      </c>
      <c r="I10">
        <v>0</v>
      </c>
      <c r="J10">
        <v>0</v>
      </c>
      <c r="K10">
        <v>0</v>
      </c>
      <c r="L10">
        <v>0</v>
      </c>
      <c r="M10">
        <v>0</v>
      </c>
      <c r="N10">
        <v>1</v>
      </c>
      <c r="O10">
        <v>0</v>
      </c>
      <c r="P10">
        <v>0</v>
      </c>
      <c r="Q10">
        <v>8</v>
      </c>
      <c r="R10">
        <v>0</v>
      </c>
      <c r="S10" s="125" t="s">
        <v>73</v>
      </c>
      <c r="T10" s="56">
        <v>46004.475543981483</v>
      </c>
    </row>
    <row r="11" spans="1:47" x14ac:dyDescent="0.2">
      <c r="A11">
        <v>2048</v>
      </c>
      <c r="B11" s="56">
        <v>46003.656134259261</v>
      </c>
      <c r="C11" s="125" t="s">
        <v>132</v>
      </c>
      <c r="D11" s="125" t="s">
        <v>216</v>
      </c>
      <c r="E11" s="125" t="s">
        <v>217</v>
      </c>
      <c r="F11">
        <v>9</v>
      </c>
      <c r="G11">
        <v>0</v>
      </c>
      <c r="H11">
        <v>0</v>
      </c>
      <c r="I11">
        <v>3</v>
      </c>
      <c r="J11">
        <v>0</v>
      </c>
      <c r="K11">
        <v>0</v>
      </c>
      <c r="L11">
        <v>0</v>
      </c>
      <c r="M11">
        <v>0</v>
      </c>
      <c r="N11">
        <v>0</v>
      </c>
      <c r="O11">
        <v>0</v>
      </c>
      <c r="P11">
        <v>0</v>
      </c>
      <c r="Q11">
        <v>12</v>
      </c>
      <c r="R11">
        <v>3</v>
      </c>
      <c r="S11" s="125" t="s">
        <v>73</v>
      </c>
      <c r="T11" s="56">
        <v>46004.476111111115</v>
      </c>
    </row>
    <row r="12" spans="1:47" x14ac:dyDescent="0.2">
      <c r="A12">
        <v>2049</v>
      </c>
      <c r="B12" s="56">
        <v>46003.77034722222</v>
      </c>
      <c r="C12" s="125" t="s">
        <v>132</v>
      </c>
      <c r="D12" s="125" t="s">
        <v>224</v>
      </c>
      <c r="E12" s="125" t="s">
        <v>225</v>
      </c>
      <c r="F12">
        <v>14</v>
      </c>
      <c r="G12">
        <v>4</v>
      </c>
      <c r="H12">
        <v>0</v>
      </c>
      <c r="I12">
        <v>2</v>
      </c>
      <c r="J12">
        <v>0</v>
      </c>
      <c r="K12">
        <v>4</v>
      </c>
      <c r="L12">
        <v>3</v>
      </c>
      <c r="M12">
        <v>0</v>
      </c>
      <c r="N12">
        <v>3</v>
      </c>
      <c r="O12">
        <v>3</v>
      </c>
      <c r="P12">
        <v>0</v>
      </c>
      <c r="Q12">
        <v>33</v>
      </c>
      <c r="R12">
        <v>2</v>
      </c>
      <c r="S12" s="125" t="s">
        <v>73</v>
      </c>
      <c r="T12" s="56">
        <v>46004.476273148146</v>
      </c>
    </row>
    <row r="13" spans="1:47" x14ac:dyDescent="0.2">
      <c r="A13">
        <v>2057</v>
      </c>
      <c r="B13" s="56">
        <v>46004.376134259262</v>
      </c>
      <c r="C13" s="125" t="s">
        <v>132</v>
      </c>
      <c r="D13" s="125" t="s">
        <v>238</v>
      </c>
      <c r="E13" s="125" t="s">
        <v>239</v>
      </c>
      <c r="F13">
        <v>14</v>
      </c>
      <c r="G13">
        <v>10</v>
      </c>
      <c r="H13">
        <v>0</v>
      </c>
      <c r="I13">
        <v>4</v>
      </c>
      <c r="J13">
        <v>0</v>
      </c>
      <c r="K13">
        <v>0</v>
      </c>
      <c r="L13">
        <v>0</v>
      </c>
      <c r="M13">
        <v>0</v>
      </c>
      <c r="N13">
        <v>0</v>
      </c>
      <c r="O13">
        <v>0</v>
      </c>
      <c r="P13">
        <v>0</v>
      </c>
      <c r="Q13">
        <v>28</v>
      </c>
      <c r="R13">
        <v>4</v>
      </c>
      <c r="S13" s="125" t="s">
        <v>73</v>
      </c>
      <c r="T13" s="56">
        <v>46004.476435185185</v>
      </c>
    </row>
    <row r="14" spans="1:47" x14ac:dyDescent="0.2">
      <c r="A14">
        <v>2061</v>
      </c>
      <c r="B14" s="56">
        <v>46005.553576388891</v>
      </c>
      <c r="C14" s="125" t="s">
        <v>132</v>
      </c>
      <c r="D14" s="125" t="s">
        <v>251</v>
      </c>
      <c r="E14" s="125" t="s">
        <v>252</v>
      </c>
      <c r="F14">
        <v>8</v>
      </c>
      <c r="G14">
        <v>0</v>
      </c>
      <c r="H14">
        <v>0</v>
      </c>
      <c r="I14">
        <v>0</v>
      </c>
      <c r="J14">
        <v>0</v>
      </c>
      <c r="K14">
        <v>0</v>
      </c>
      <c r="L14">
        <v>0</v>
      </c>
      <c r="M14">
        <v>0</v>
      </c>
      <c r="N14">
        <v>1</v>
      </c>
      <c r="O14">
        <v>0</v>
      </c>
      <c r="P14">
        <v>0</v>
      </c>
      <c r="Q14">
        <v>9</v>
      </c>
      <c r="R14">
        <v>0</v>
      </c>
      <c r="S14" s="125" t="s">
        <v>73</v>
      </c>
      <c r="T14" s="56">
        <v>46005.51190972222</v>
      </c>
    </row>
    <row r="15" spans="1:47" x14ac:dyDescent="0.2">
      <c r="A15">
        <v>2063</v>
      </c>
      <c r="B15" s="56">
        <v>46005.574571759258</v>
      </c>
      <c r="C15" s="125" t="s">
        <v>132</v>
      </c>
      <c r="D15" s="125" t="s">
        <v>248</v>
      </c>
      <c r="E15" s="125" t="s">
        <v>249</v>
      </c>
      <c r="F15">
        <v>0</v>
      </c>
      <c r="G15">
        <v>0</v>
      </c>
      <c r="H15">
        <v>0</v>
      </c>
      <c r="I15">
        <v>7</v>
      </c>
      <c r="J15">
        <v>0</v>
      </c>
      <c r="K15">
        <v>0</v>
      </c>
      <c r="L15">
        <v>0</v>
      </c>
      <c r="M15">
        <v>0</v>
      </c>
      <c r="N15">
        <v>0</v>
      </c>
      <c r="O15">
        <v>1</v>
      </c>
      <c r="P15">
        <v>6</v>
      </c>
      <c r="Q15">
        <v>14</v>
      </c>
      <c r="R15">
        <v>13</v>
      </c>
      <c r="S15" s="125" t="s">
        <v>73</v>
      </c>
      <c r="T15" s="56">
        <v>46005.532905092594</v>
      </c>
    </row>
    <row r="16" spans="1:47" x14ac:dyDescent="0.2">
      <c r="A16">
        <v>2066</v>
      </c>
      <c r="B16" s="56">
        <v>46005.802800925929</v>
      </c>
      <c r="C16" s="125" t="s">
        <v>132</v>
      </c>
      <c r="D16" s="125" t="s">
        <v>292</v>
      </c>
      <c r="E16" s="125" t="s">
        <v>293</v>
      </c>
      <c r="F16">
        <v>6</v>
      </c>
      <c r="G16">
        <v>0</v>
      </c>
      <c r="H16">
        <v>0</v>
      </c>
      <c r="I16">
        <v>0</v>
      </c>
      <c r="J16">
        <v>0</v>
      </c>
      <c r="K16">
        <v>0</v>
      </c>
      <c r="L16">
        <v>0</v>
      </c>
      <c r="M16">
        <v>0</v>
      </c>
      <c r="N16">
        <v>0</v>
      </c>
      <c r="O16">
        <v>0</v>
      </c>
      <c r="P16">
        <v>0</v>
      </c>
      <c r="Q16">
        <v>6</v>
      </c>
      <c r="R16">
        <v>0</v>
      </c>
      <c r="S16" s="125" t="s">
        <v>73</v>
      </c>
      <c r="T16" s="56">
        <v>46005.761134259257</v>
      </c>
    </row>
    <row r="17" spans="1:20" x14ac:dyDescent="0.2">
      <c r="A17">
        <v>2067</v>
      </c>
      <c r="B17" s="56">
        <v>46005.900960648149</v>
      </c>
      <c r="C17" s="125" t="s">
        <v>132</v>
      </c>
      <c r="D17" s="125" t="s">
        <v>267</v>
      </c>
      <c r="E17" s="125" t="s">
        <v>268</v>
      </c>
      <c r="F17">
        <v>4</v>
      </c>
      <c r="G17">
        <v>0</v>
      </c>
      <c r="H17">
        <v>0</v>
      </c>
      <c r="I17">
        <v>0</v>
      </c>
      <c r="J17">
        <v>0</v>
      </c>
      <c r="K17">
        <v>4</v>
      </c>
      <c r="L17">
        <v>0</v>
      </c>
      <c r="M17">
        <v>0</v>
      </c>
      <c r="N17">
        <v>0</v>
      </c>
      <c r="O17">
        <v>0</v>
      </c>
      <c r="P17">
        <v>0</v>
      </c>
      <c r="Q17">
        <v>8</v>
      </c>
      <c r="R17">
        <v>0</v>
      </c>
      <c r="S17" s="125" t="s">
        <v>73</v>
      </c>
      <c r="T17" s="56">
        <v>46005.859293981484</v>
      </c>
    </row>
    <row r="18" spans="1:20" x14ac:dyDescent="0.2">
      <c r="A18">
        <v>2077</v>
      </c>
      <c r="B18" s="56">
        <v>46006.551620370374</v>
      </c>
      <c r="C18" s="125" t="s">
        <v>132</v>
      </c>
      <c r="D18" s="125" t="s">
        <v>279</v>
      </c>
      <c r="E18" s="125" t="s">
        <v>280</v>
      </c>
      <c r="F18">
        <v>6</v>
      </c>
      <c r="G18">
        <v>3</v>
      </c>
      <c r="H18">
        <v>0</v>
      </c>
      <c r="I18">
        <v>0</v>
      </c>
      <c r="J18">
        <v>0</v>
      </c>
      <c r="K18">
        <v>0</v>
      </c>
      <c r="L18">
        <v>0</v>
      </c>
      <c r="M18">
        <v>0</v>
      </c>
      <c r="N18">
        <v>0</v>
      </c>
      <c r="O18">
        <v>1</v>
      </c>
      <c r="P18">
        <v>0</v>
      </c>
      <c r="Q18">
        <v>10</v>
      </c>
      <c r="R18">
        <v>0</v>
      </c>
      <c r="S18" s="125" t="s">
        <v>73</v>
      </c>
      <c r="T18" s="56">
        <v>46006.509953703702</v>
      </c>
    </row>
    <row r="19" spans="1:20" x14ac:dyDescent="0.2">
      <c r="A19">
        <v>2078</v>
      </c>
      <c r="B19" s="56">
        <v>46006.589444444442</v>
      </c>
      <c r="C19" s="125" t="s">
        <v>132</v>
      </c>
      <c r="D19" s="125" t="s">
        <v>272</v>
      </c>
      <c r="E19" s="125" t="s">
        <v>273</v>
      </c>
      <c r="F19">
        <v>0</v>
      </c>
      <c r="G19">
        <v>5</v>
      </c>
      <c r="H19">
        <v>0</v>
      </c>
      <c r="I19">
        <v>0</v>
      </c>
      <c r="J19">
        <v>0</v>
      </c>
      <c r="K19">
        <v>0</v>
      </c>
      <c r="L19">
        <v>0</v>
      </c>
      <c r="M19">
        <v>0</v>
      </c>
      <c r="N19">
        <v>0</v>
      </c>
      <c r="O19">
        <v>0</v>
      </c>
      <c r="P19">
        <v>0</v>
      </c>
      <c r="Q19">
        <v>5</v>
      </c>
      <c r="R19">
        <v>0</v>
      </c>
      <c r="S19" s="125" t="s">
        <v>73</v>
      </c>
      <c r="T19" s="56">
        <v>46006.547777777778</v>
      </c>
    </row>
    <row r="20" spans="1:20" x14ac:dyDescent="0.2">
      <c r="A20">
        <v>2089</v>
      </c>
      <c r="B20" s="56">
        <v>46007.963252314818</v>
      </c>
      <c r="C20" s="125" t="s">
        <v>132</v>
      </c>
      <c r="D20" s="125" t="s">
        <v>295</v>
      </c>
      <c r="E20" s="125" t="s">
        <v>296</v>
      </c>
      <c r="F20">
        <v>5</v>
      </c>
      <c r="G20">
        <v>0</v>
      </c>
      <c r="H20">
        <v>0</v>
      </c>
      <c r="I20">
        <v>0</v>
      </c>
      <c r="J20">
        <v>0</v>
      </c>
      <c r="K20">
        <v>0</v>
      </c>
      <c r="L20">
        <v>0</v>
      </c>
      <c r="M20">
        <v>0</v>
      </c>
      <c r="N20">
        <v>0</v>
      </c>
      <c r="O20">
        <v>0</v>
      </c>
      <c r="P20">
        <v>0</v>
      </c>
      <c r="Q20">
        <v>5</v>
      </c>
      <c r="R20">
        <v>0</v>
      </c>
      <c r="S20" s="125" t="s">
        <v>73</v>
      </c>
      <c r="T20" s="56">
        <v>46007.921585648146</v>
      </c>
    </row>
    <row r="21" spans="1:20" x14ac:dyDescent="0.2">
      <c r="A21">
        <v>2092</v>
      </c>
      <c r="B21" s="56">
        <v>46011.04760416667</v>
      </c>
      <c r="C21" s="125" t="s">
        <v>132</v>
      </c>
      <c r="D21" s="125" t="s">
        <v>303</v>
      </c>
      <c r="E21" s="125" t="s">
        <v>304</v>
      </c>
      <c r="F21">
        <v>10</v>
      </c>
      <c r="G21">
        <v>0</v>
      </c>
      <c r="H21">
        <v>0</v>
      </c>
      <c r="I21">
        <v>0</v>
      </c>
      <c r="J21">
        <v>0</v>
      </c>
      <c r="K21">
        <v>0</v>
      </c>
      <c r="L21">
        <v>0</v>
      </c>
      <c r="M21">
        <v>0</v>
      </c>
      <c r="N21">
        <v>0</v>
      </c>
      <c r="O21">
        <v>0</v>
      </c>
      <c r="P21">
        <v>0</v>
      </c>
      <c r="Q21">
        <v>10</v>
      </c>
      <c r="R21">
        <v>0</v>
      </c>
      <c r="S21" s="125" t="s">
        <v>73</v>
      </c>
      <c r="T21" s="56">
        <v>46011.005937499998</v>
      </c>
    </row>
    <row r="22" spans="1:20" x14ac:dyDescent="0.2">
      <c r="A22">
        <v>2096</v>
      </c>
      <c r="B22" s="56">
        <v>46011.534317129626</v>
      </c>
      <c r="C22" s="125" t="s">
        <v>132</v>
      </c>
      <c r="D22" s="125" t="s">
        <v>306</v>
      </c>
      <c r="E22" s="125" t="s">
        <v>307</v>
      </c>
      <c r="F22">
        <v>10</v>
      </c>
      <c r="G22">
        <v>0</v>
      </c>
      <c r="H22">
        <v>0</v>
      </c>
      <c r="I22">
        <v>0</v>
      </c>
      <c r="J22">
        <v>0</v>
      </c>
      <c r="K22">
        <v>0</v>
      </c>
      <c r="L22">
        <v>0</v>
      </c>
      <c r="M22">
        <v>0</v>
      </c>
      <c r="N22">
        <v>0</v>
      </c>
      <c r="O22">
        <v>0</v>
      </c>
      <c r="P22">
        <v>0</v>
      </c>
      <c r="Q22">
        <v>10</v>
      </c>
      <c r="R22">
        <v>0</v>
      </c>
      <c r="S22" s="125" t="s">
        <v>321</v>
      </c>
      <c r="T22" s="56">
        <v>46011.492650462962</v>
      </c>
    </row>
    <row r="23" spans="1:20" x14ac:dyDescent="0.2">
      <c r="A23">
        <v>2099</v>
      </c>
      <c r="B23" s="56">
        <v>46011.575671296298</v>
      </c>
      <c r="C23" s="125" t="s">
        <v>132</v>
      </c>
      <c r="D23" s="125" t="s">
        <v>318</v>
      </c>
      <c r="E23" s="125" t="s">
        <v>319</v>
      </c>
      <c r="F23">
        <v>9</v>
      </c>
      <c r="G23">
        <v>9</v>
      </c>
      <c r="H23">
        <v>0</v>
      </c>
      <c r="I23">
        <v>5</v>
      </c>
      <c r="J23">
        <v>0</v>
      </c>
      <c r="K23">
        <v>0</v>
      </c>
      <c r="L23">
        <v>0</v>
      </c>
      <c r="M23">
        <v>0</v>
      </c>
      <c r="N23">
        <v>0</v>
      </c>
      <c r="O23">
        <v>0</v>
      </c>
      <c r="P23">
        <v>0</v>
      </c>
      <c r="Q23">
        <v>23</v>
      </c>
      <c r="R23">
        <v>5</v>
      </c>
      <c r="S23" s="125" t="s">
        <v>73</v>
      </c>
      <c r="T23" s="56">
        <v>46011.534004629626</v>
      </c>
    </row>
    <row r="24" spans="1:20" x14ac:dyDescent="0.2">
      <c r="A24">
        <v>2102</v>
      </c>
      <c r="B24" s="56">
        <v>46011.791608796295</v>
      </c>
      <c r="C24" s="125" t="s">
        <v>132</v>
      </c>
      <c r="D24" s="125" t="s">
        <v>324</v>
      </c>
      <c r="E24" s="125" t="s">
        <v>325</v>
      </c>
      <c r="F24">
        <v>6</v>
      </c>
      <c r="G24">
        <v>4</v>
      </c>
      <c r="H24">
        <v>0</v>
      </c>
      <c r="I24">
        <v>0</v>
      </c>
      <c r="J24">
        <v>0</v>
      </c>
      <c r="K24">
        <v>0</v>
      </c>
      <c r="L24">
        <v>0</v>
      </c>
      <c r="M24">
        <v>0</v>
      </c>
      <c r="N24">
        <v>2</v>
      </c>
      <c r="O24">
        <v>1</v>
      </c>
      <c r="P24">
        <v>0</v>
      </c>
      <c r="Q24">
        <v>13</v>
      </c>
      <c r="R24">
        <v>0</v>
      </c>
      <c r="S24" s="125" t="s">
        <v>73</v>
      </c>
      <c r="T24" s="56">
        <v>46011.749942129631</v>
      </c>
    </row>
    <row r="25" spans="1:20" x14ac:dyDescent="0.2">
      <c r="A25">
        <v>2106</v>
      </c>
      <c r="B25" s="56">
        <v>46012.641736111109</v>
      </c>
      <c r="C25" s="125" t="s">
        <v>132</v>
      </c>
      <c r="D25" s="125" t="s">
        <v>355</v>
      </c>
      <c r="E25" s="125" t="s">
        <v>356</v>
      </c>
      <c r="F25">
        <v>6</v>
      </c>
      <c r="G25">
        <v>0</v>
      </c>
      <c r="H25">
        <v>0</v>
      </c>
      <c r="I25">
        <v>7</v>
      </c>
      <c r="J25">
        <v>0</v>
      </c>
      <c r="K25">
        <v>0</v>
      </c>
      <c r="L25">
        <v>0</v>
      </c>
      <c r="M25">
        <v>0</v>
      </c>
      <c r="N25">
        <v>0</v>
      </c>
      <c r="O25">
        <v>0</v>
      </c>
      <c r="P25">
        <v>0</v>
      </c>
      <c r="Q25">
        <v>13</v>
      </c>
      <c r="R25">
        <v>7</v>
      </c>
      <c r="S25" s="125" t="s">
        <v>73</v>
      </c>
      <c r="T25" s="56">
        <v>46012.600069444445</v>
      </c>
    </row>
    <row r="26" spans="1:20" x14ac:dyDescent="0.2">
      <c r="A26">
        <v>2107</v>
      </c>
      <c r="B26" s="56">
        <v>46013.450543981482</v>
      </c>
      <c r="C26" s="125" t="s">
        <v>132</v>
      </c>
      <c r="D26" s="125" t="s">
        <v>345</v>
      </c>
      <c r="E26" s="125" t="s">
        <v>346</v>
      </c>
      <c r="F26">
        <v>11</v>
      </c>
      <c r="G26">
        <v>4</v>
      </c>
      <c r="H26">
        <v>0</v>
      </c>
      <c r="I26">
        <v>9</v>
      </c>
      <c r="J26">
        <v>0</v>
      </c>
      <c r="K26">
        <v>10</v>
      </c>
      <c r="L26">
        <v>4</v>
      </c>
      <c r="M26">
        <v>0</v>
      </c>
      <c r="N26">
        <v>0</v>
      </c>
      <c r="O26">
        <v>3</v>
      </c>
      <c r="P26">
        <v>1</v>
      </c>
      <c r="Q26">
        <v>42</v>
      </c>
      <c r="R26">
        <v>10</v>
      </c>
      <c r="S26" s="125" t="s">
        <v>357</v>
      </c>
      <c r="T26" s="56">
        <v>46013.408877314818</v>
      </c>
    </row>
    <row r="27" spans="1:20" x14ac:dyDescent="0.2">
      <c r="A27">
        <v>2109</v>
      </c>
      <c r="B27" s="56">
        <v>46013.471168981479</v>
      </c>
      <c r="C27" s="125" t="s">
        <v>132</v>
      </c>
      <c r="D27" s="125" t="s">
        <v>341</v>
      </c>
      <c r="E27" s="125" t="s">
        <v>342</v>
      </c>
      <c r="F27">
        <v>6</v>
      </c>
      <c r="G27">
        <v>0</v>
      </c>
      <c r="H27">
        <v>0</v>
      </c>
      <c r="I27">
        <v>0</v>
      </c>
      <c r="J27">
        <v>0</v>
      </c>
      <c r="K27">
        <v>4</v>
      </c>
      <c r="L27">
        <v>0</v>
      </c>
      <c r="M27">
        <v>0</v>
      </c>
      <c r="N27">
        <v>3</v>
      </c>
      <c r="O27">
        <v>1</v>
      </c>
      <c r="P27">
        <v>0</v>
      </c>
      <c r="Q27">
        <v>14</v>
      </c>
      <c r="R27">
        <v>0</v>
      </c>
      <c r="S27" s="125" t="s">
        <v>73</v>
      </c>
      <c r="T27" s="56">
        <v>46013.429502314815</v>
      </c>
    </row>
    <row r="28" spans="1:20" x14ac:dyDescent="0.2">
      <c r="A28">
        <v>2115</v>
      </c>
      <c r="B28" s="56">
        <v>46013.520925925928</v>
      </c>
      <c r="C28" s="125" t="s">
        <v>132</v>
      </c>
      <c r="D28" s="125" t="s">
        <v>338</v>
      </c>
      <c r="E28" s="125" t="s">
        <v>339</v>
      </c>
      <c r="F28">
        <v>0</v>
      </c>
      <c r="G28">
        <v>0</v>
      </c>
      <c r="H28">
        <v>0</v>
      </c>
      <c r="I28">
        <v>0</v>
      </c>
      <c r="J28">
        <v>0</v>
      </c>
      <c r="K28">
        <v>0</v>
      </c>
      <c r="L28">
        <v>0</v>
      </c>
      <c r="M28">
        <v>0</v>
      </c>
      <c r="N28">
        <v>0</v>
      </c>
      <c r="O28">
        <v>0</v>
      </c>
      <c r="P28">
        <v>0</v>
      </c>
      <c r="Q28">
        <v>0</v>
      </c>
      <c r="R28">
        <v>0</v>
      </c>
      <c r="S28" s="125" t="s">
        <v>358</v>
      </c>
      <c r="T28" s="56">
        <v>46013.479259259257</v>
      </c>
    </row>
    <row r="29" spans="1:20" x14ac:dyDescent="0.2">
      <c r="A29">
        <v>2122</v>
      </c>
      <c r="B29" s="56">
        <v>46014.653761574074</v>
      </c>
      <c r="C29" s="125" t="s">
        <v>132</v>
      </c>
      <c r="D29" s="125" t="s">
        <v>359</v>
      </c>
      <c r="E29" s="125" t="s">
        <v>360</v>
      </c>
      <c r="F29">
        <v>10</v>
      </c>
      <c r="G29">
        <v>6</v>
      </c>
      <c r="H29">
        <v>0</v>
      </c>
      <c r="I29">
        <v>4</v>
      </c>
      <c r="J29">
        <v>0</v>
      </c>
      <c r="K29">
        <v>4</v>
      </c>
      <c r="L29">
        <v>0</v>
      </c>
      <c r="M29">
        <v>0</v>
      </c>
      <c r="N29">
        <v>0</v>
      </c>
      <c r="O29">
        <v>0</v>
      </c>
      <c r="P29">
        <v>0</v>
      </c>
      <c r="Q29">
        <v>24</v>
      </c>
      <c r="R29">
        <v>4</v>
      </c>
      <c r="S29" s="125" t="s">
        <v>73</v>
      </c>
      <c r="T29" s="56">
        <v>46014.61209490741</v>
      </c>
    </row>
    <row r="30" spans="1:20" x14ac:dyDescent="0.2">
      <c r="A30">
        <v>2123</v>
      </c>
      <c r="B30" s="56">
        <v>46014.793564814812</v>
      </c>
      <c r="C30" s="125" t="s">
        <v>132</v>
      </c>
      <c r="D30" s="125" t="s">
        <v>381</v>
      </c>
      <c r="E30" s="125" t="s">
        <v>382</v>
      </c>
      <c r="F30">
        <v>5</v>
      </c>
      <c r="G30">
        <v>0</v>
      </c>
      <c r="H30">
        <v>0</v>
      </c>
      <c r="I30">
        <v>0</v>
      </c>
      <c r="J30">
        <v>0</v>
      </c>
      <c r="K30">
        <v>0</v>
      </c>
      <c r="L30">
        <v>0</v>
      </c>
      <c r="M30">
        <v>0</v>
      </c>
      <c r="N30">
        <v>0</v>
      </c>
      <c r="O30">
        <v>0</v>
      </c>
      <c r="P30">
        <v>0</v>
      </c>
      <c r="Q30">
        <v>5</v>
      </c>
      <c r="R30">
        <v>0</v>
      </c>
      <c r="S30" s="125" t="s">
        <v>73</v>
      </c>
      <c r="T30" s="56">
        <v>46014.751898148148</v>
      </c>
    </row>
    <row r="31" spans="1:20" x14ac:dyDescent="0.2">
      <c r="A31">
        <v>2131</v>
      </c>
      <c r="B31" s="56">
        <v>46016.653622685182</v>
      </c>
      <c r="C31" s="125" t="s">
        <v>132</v>
      </c>
      <c r="D31" s="125" t="s">
        <v>393</v>
      </c>
      <c r="E31" s="125" t="s">
        <v>394</v>
      </c>
      <c r="F31">
        <v>13</v>
      </c>
      <c r="G31">
        <v>8</v>
      </c>
      <c r="H31">
        <v>0</v>
      </c>
      <c r="I31">
        <v>6</v>
      </c>
      <c r="J31">
        <v>0</v>
      </c>
      <c r="K31">
        <v>9</v>
      </c>
      <c r="L31">
        <v>0</v>
      </c>
      <c r="M31">
        <v>0</v>
      </c>
      <c r="N31">
        <v>0</v>
      </c>
      <c r="O31">
        <v>0</v>
      </c>
      <c r="P31">
        <v>0</v>
      </c>
      <c r="Q31">
        <v>36</v>
      </c>
      <c r="R31">
        <v>6</v>
      </c>
      <c r="S31" s="125" t="s">
        <v>73</v>
      </c>
      <c r="T31" s="56">
        <v>46016.611956018518</v>
      </c>
    </row>
    <row r="32" spans="1:20" x14ac:dyDescent="0.2">
      <c r="A32">
        <v>2133</v>
      </c>
      <c r="B32" s="56">
        <v>46017.417627314811</v>
      </c>
      <c r="C32" s="125" t="s">
        <v>132</v>
      </c>
      <c r="D32" s="125" t="s">
        <v>388</v>
      </c>
      <c r="E32" s="125" t="s">
        <v>389</v>
      </c>
      <c r="F32">
        <v>5</v>
      </c>
      <c r="G32">
        <v>0</v>
      </c>
      <c r="H32">
        <v>0</v>
      </c>
      <c r="I32">
        <v>0</v>
      </c>
      <c r="J32">
        <v>0</v>
      </c>
      <c r="K32">
        <v>0</v>
      </c>
      <c r="L32">
        <v>0</v>
      </c>
      <c r="M32">
        <v>0</v>
      </c>
      <c r="N32">
        <v>0</v>
      </c>
      <c r="O32">
        <v>0</v>
      </c>
      <c r="P32">
        <v>0</v>
      </c>
      <c r="Q32">
        <v>5</v>
      </c>
      <c r="R32">
        <v>0</v>
      </c>
      <c r="S32" s="125" t="s">
        <v>73</v>
      </c>
      <c r="T32" s="56">
        <v>46017.375960648147</v>
      </c>
    </row>
    <row r="33" spans="1:20" x14ac:dyDescent="0.2">
      <c r="A33">
        <v>2137</v>
      </c>
      <c r="B33" s="56">
        <v>46017.520115740743</v>
      </c>
      <c r="C33" s="125" t="s">
        <v>132</v>
      </c>
      <c r="D33" s="125" t="s">
        <v>398</v>
      </c>
      <c r="E33" s="125" t="s">
        <v>399</v>
      </c>
      <c r="F33">
        <v>16</v>
      </c>
      <c r="G33">
        <v>0</v>
      </c>
      <c r="H33">
        <v>0</v>
      </c>
      <c r="I33">
        <v>0</v>
      </c>
      <c r="J33">
        <v>0</v>
      </c>
      <c r="K33">
        <v>0</v>
      </c>
      <c r="L33">
        <v>0</v>
      </c>
      <c r="M33">
        <v>0</v>
      </c>
      <c r="N33">
        <v>0</v>
      </c>
      <c r="O33">
        <v>0</v>
      </c>
      <c r="P33">
        <v>0</v>
      </c>
      <c r="Q33">
        <v>16</v>
      </c>
      <c r="R33">
        <v>0</v>
      </c>
      <c r="S33" s="125" t="s">
        <v>73</v>
      </c>
      <c r="T33" s="56">
        <v>46017.478449074071</v>
      </c>
    </row>
    <row r="34" spans="1:20" x14ac:dyDescent="0.2">
      <c r="A34">
        <v>2142</v>
      </c>
      <c r="B34" s="56">
        <v>46018.565532407411</v>
      </c>
      <c r="C34" s="125" t="s">
        <v>132</v>
      </c>
      <c r="D34" s="125" t="s">
        <v>403</v>
      </c>
      <c r="E34" s="125" t="s">
        <v>404</v>
      </c>
      <c r="F34">
        <v>8</v>
      </c>
      <c r="G34">
        <v>0</v>
      </c>
      <c r="H34">
        <v>0</v>
      </c>
      <c r="I34">
        <v>0</v>
      </c>
      <c r="J34">
        <v>0</v>
      </c>
      <c r="K34">
        <v>4</v>
      </c>
      <c r="L34">
        <v>0</v>
      </c>
      <c r="M34">
        <v>0</v>
      </c>
      <c r="N34">
        <v>2</v>
      </c>
      <c r="O34">
        <v>0</v>
      </c>
      <c r="P34">
        <v>0</v>
      </c>
      <c r="Q34">
        <v>14</v>
      </c>
      <c r="R34">
        <v>0</v>
      </c>
      <c r="S34" s="125" t="s">
        <v>73</v>
      </c>
      <c r="T34" s="56">
        <v>46018.523865740739</v>
      </c>
    </row>
    <row r="35" spans="1:20" x14ac:dyDescent="0.2">
      <c r="A35">
        <v>2148</v>
      </c>
      <c r="B35" s="56">
        <v>46019.613437499997</v>
      </c>
      <c r="C35" s="125" t="s">
        <v>132</v>
      </c>
      <c r="D35" s="125" t="s">
        <v>415</v>
      </c>
      <c r="E35" s="125" t="s">
        <v>416</v>
      </c>
      <c r="F35">
        <v>4</v>
      </c>
      <c r="G35">
        <v>4</v>
      </c>
      <c r="H35">
        <v>0</v>
      </c>
      <c r="I35">
        <v>3</v>
      </c>
      <c r="J35">
        <v>0</v>
      </c>
      <c r="K35">
        <v>0</v>
      </c>
      <c r="L35">
        <v>0</v>
      </c>
      <c r="M35">
        <v>0</v>
      </c>
      <c r="N35">
        <v>0</v>
      </c>
      <c r="O35">
        <v>0</v>
      </c>
      <c r="P35">
        <v>0</v>
      </c>
      <c r="Q35">
        <v>11</v>
      </c>
      <c r="R35">
        <v>3</v>
      </c>
      <c r="S35" s="125" t="s">
        <v>73</v>
      </c>
      <c r="T35" s="56">
        <v>46019.571770833332</v>
      </c>
    </row>
    <row r="36" spans="1:20" x14ac:dyDescent="0.2">
      <c r="A36">
        <v>2149</v>
      </c>
      <c r="B36" s="56">
        <v>46019.626481481479</v>
      </c>
      <c r="C36" s="125" t="s">
        <v>132</v>
      </c>
      <c r="D36" s="125" t="s">
        <v>418</v>
      </c>
      <c r="E36" s="125" t="s">
        <v>419</v>
      </c>
      <c r="F36">
        <v>0</v>
      </c>
      <c r="G36">
        <v>6</v>
      </c>
      <c r="H36">
        <v>0</v>
      </c>
      <c r="I36">
        <v>8</v>
      </c>
      <c r="J36">
        <v>0</v>
      </c>
      <c r="K36">
        <v>0</v>
      </c>
      <c r="L36">
        <v>0</v>
      </c>
      <c r="M36">
        <v>0</v>
      </c>
      <c r="N36">
        <v>0</v>
      </c>
      <c r="O36">
        <v>0</v>
      </c>
      <c r="P36">
        <v>0</v>
      </c>
      <c r="Q36">
        <v>14</v>
      </c>
      <c r="R36">
        <v>8</v>
      </c>
      <c r="S36" s="125" t="s">
        <v>424</v>
      </c>
      <c r="T36" s="56">
        <v>46019.584814814814</v>
      </c>
    </row>
    <row r="37" spans="1:20" x14ac:dyDescent="0.2">
      <c r="A37">
        <v>2156</v>
      </c>
      <c r="B37" s="56">
        <v>46019.960046296299</v>
      </c>
      <c r="C37" s="125" t="s">
        <v>132</v>
      </c>
      <c r="D37" s="125" t="s">
        <v>429</v>
      </c>
      <c r="E37" s="125" t="s">
        <v>430</v>
      </c>
      <c r="F37">
        <v>12</v>
      </c>
      <c r="G37">
        <v>4</v>
      </c>
      <c r="H37">
        <v>0</v>
      </c>
      <c r="I37">
        <v>0</v>
      </c>
      <c r="J37">
        <v>0</v>
      </c>
      <c r="K37">
        <v>0</v>
      </c>
      <c r="L37">
        <v>0</v>
      </c>
      <c r="M37">
        <v>0</v>
      </c>
      <c r="N37">
        <v>0</v>
      </c>
      <c r="O37">
        <v>0</v>
      </c>
      <c r="P37">
        <v>0</v>
      </c>
      <c r="Q37">
        <v>16</v>
      </c>
      <c r="R37">
        <v>0</v>
      </c>
      <c r="S37" s="125" t="s">
        <v>433</v>
      </c>
      <c r="T37" s="56">
        <v>46019.918379629627</v>
      </c>
    </row>
    <row r="38" spans="1:20" x14ac:dyDescent="0.2">
      <c r="A38">
        <v>2173</v>
      </c>
      <c r="B38" s="56">
        <v>46021.993888888886</v>
      </c>
      <c r="C38" s="125" t="s">
        <v>132</v>
      </c>
      <c r="D38" s="125" t="s">
        <v>451</v>
      </c>
      <c r="E38" s="125" t="s">
        <v>452</v>
      </c>
      <c r="F38">
        <v>8</v>
      </c>
      <c r="G38">
        <v>7</v>
      </c>
      <c r="H38">
        <v>0</v>
      </c>
      <c r="I38">
        <v>0</v>
      </c>
      <c r="J38">
        <v>0</v>
      </c>
      <c r="K38">
        <v>0</v>
      </c>
      <c r="L38">
        <v>0</v>
      </c>
      <c r="M38">
        <v>0</v>
      </c>
      <c r="N38">
        <v>0</v>
      </c>
      <c r="O38">
        <v>0</v>
      </c>
      <c r="P38">
        <v>0</v>
      </c>
      <c r="Q38">
        <v>15</v>
      </c>
      <c r="R38">
        <v>0</v>
      </c>
      <c r="S38" s="125" t="s">
        <v>73</v>
      </c>
      <c r="T38" s="56">
        <v>46021.952222222222</v>
      </c>
    </row>
    <row r="39" spans="1:20" x14ac:dyDescent="0.2">
      <c r="A39" t="s">
        <v>79</v>
      </c>
      <c r="E39">
        <f>SUBTOTAL(103,GKVI[Naam vereniging])</f>
        <v>32</v>
      </c>
      <c r="F39">
        <f>SUBTOTAL(109,GKVI[Korps klassiek senioren])</f>
        <v>213</v>
      </c>
      <c r="G39">
        <f>SUBTOTAL(109,GKVI[Korps 1 klassiek junioren])</f>
        <v>80</v>
      </c>
      <c r="H39">
        <f>SUBTOTAL(109,GKVI[Korps 2 klassiek junioren])</f>
        <v>0</v>
      </c>
      <c r="I39">
        <f>SUBTOTAL(109,GKVI[Korps 1 klassiek aspiranten])</f>
        <v>58</v>
      </c>
      <c r="J39">
        <f>SUBTOTAL(109,GKVI[Korps 2 klassiek aspiranten])</f>
        <v>0</v>
      </c>
      <c r="K39">
        <f>SUBTOTAL(109,GKVI[Korps acrob. senioren])</f>
        <v>39</v>
      </c>
      <c r="L39">
        <f>SUBTOTAL(109,GKVI[Korps acrob. junioren])</f>
        <v>7</v>
      </c>
      <c r="M39">
        <f>SUBTOTAL(109,GKVI[Korps acrob. aspiranten])</f>
        <v>0</v>
      </c>
      <c r="N39">
        <f>SUBTOTAL(109,GKVI[Acrob. senioren indiv.])</f>
        <v>12</v>
      </c>
      <c r="O39">
        <f>SUBTOTAL(109,GKVI[Acrob. junioren indiv.])</f>
        <v>10</v>
      </c>
      <c r="P39">
        <f>SUBTOTAL(109,GKVI[Acrob. aspiranten indiv.])</f>
        <v>7</v>
      </c>
      <c r="Q39">
        <f>SUBTOTAL(109,GKVI[Aantal deelnemers])</f>
        <v>426</v>
      </c>
    </row>
  </sheetData>
  <mergeCells count="6">
    <mergeCell ref="F5:J5"/>
    <mergeCell ref="K5:M5"/>
    <mergeCell ref="N5:P5"/>
    <mergeCell ref="A5:E5"/>
    <mergeCell ref="C1:G1"/>
    <mergeCell ref="C2:G2"/>
  </mergeCells>
  <phoneticPr fontId="2"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9992-0072-43F1-83E6-036A14549315}">
  <dimension ref="A1:K27"/>
  <sheetViews>
    <sheetView zoomScale="110" zoomScaleNormal="110" workbookViewId="0">
      <selection activeCell="C1" sqref="C1:G2"/>
    </sheetView>
  </sheetViews>
  <sheetFormatPr baseColWidth="10" defaultColWidth="8.83203125" defaultRowHeight="15" x14ac:dyDescent="0.2"/>
  <cols>
    <col min="1" max="1" width="8.33203125" bestFit="1" customWidth="1"/>
    <col min="2" max="2" width="19.6640625" bestFit="1" customWidth="1"/>
    <col min="3" max="3" width="58.83203125" bestFit="1" customWidth="1"/>
    <col min="4" max="4" width="13.1640625" style="1" bestFit="1" customWidth="1"/>
    <col min="5" max="5" width="19.1640625" style="1" bestFit="1" customWidth="1"/>
    <col min="6" max="6" width="13" style="1" bestFit="1" customWidth="1"/>
    <col min="7" max="7" width="14.6640625" bestFit="1" customWidth="1"/>
    <col min="8" max="8" width="23.6640625" bestFit="1" customWidth="1"/>
    <col min="9" max="9" width="13.33203125" bestFit="1" customWidth="1"/>
    <col min="10" max="11" width="15" bestFit="1" customWidth="1"/>
  </cols>
  <sheetData>
    <row r="1" spans="1:11" ht="24" x14ac:dyDescent="0.3">
      <c r="C1" s="123" t="s">
        <v>167</v>
      </c>
      <c r="D1" s="123"/>
      <c r="E1" s="123"/>
      <c r="F1" s="123"/>
      <c r="G1" s="123"/>
    </row>
    <row r="2" spans="1:11" ht="16" x14ac:dyDescent="0.2">
      <c r="C2" s="124" t="s">
        <v>168</v>
      </c>
      <c r="D2" s="124"/>
      <c r="E2" s="124"/>
      <c r="F2" s="124"/>
      <c r="G2" s="124"/>
    </row>
    <row r="3" spans="1:11" ht="16" x14ac:dyDescent="0.2">
      <c r="C3" s="29"/>
      <c r="D3" s="29"/>
      <c r="E3" s="29"/>
      <c r="F3" s="29"/>
      <c r="G3" s="29"/>
    </row>
    <row r="4" spans="1:11" ht="17" x14ac:dyDescent="0.2">
      <c r="A4" s="30"/>
      <c r="B4" s="30" t="s">
        <v>96</v>
      </c>
      <c r="C4" s="30"/>
      <c r="D4" s="31" t="s">
        <v>126</v>
      </c>
      <c r="E4" s="31" t="s">
        <v>127</v>
      </c>
      <c r="F4" s="31" t="s">
        <v>127</v>
      </c>
      <c r="G4" s="31" t="s">
        <v>127</v>
      </c>
      <c r="H4" s="30"/>
      <c r="I4" s="30"/>
      <c r="J4" s="54"/>
      <c r="K4" s="54"/>
    </row>
    <row r="5" spans="1:11" x14ac:dyDescent="0.2">
      <c r="A5" s="2" t="s">
        <v>97</v>
      </c>
      <c r="B5" s="2" t="s">
        <v>131</v>
      </c>
      <c r="C5" s="2" t="s">
        <v>19</v>
      </c>
      <c r="D5" s="4" t="s">
        <v>38</v>
      </c>
      <c r="E5" s="4" t="s">
        <v>140</v>
      </c>
      <c r="F5" s="4" t="s">
        <v>39</v>
      </c>
      <c r="G5" s="4" t="s">
        <v>40</v>
      </c>
      <c r="H5" s="2" t="s">
        <v>98</v>
      </c>
      <c r="I5" s="2" t="s">
        <v>51</v>
      </c>
      <c r="J5" s="2" t="s">
        <v>52</v>
      </c>
      <c r="K5" s="2" t="s">
        <v>103</v>
      </c>
    </row>
    <row r="6" spans="1:11" x14ac:dyDescent="0.2">
      <c r="A6" s="125" t="s">
        <v>139</v>
      </c>
      <c r="B6" s="125" t="s">
        <v>159</v>
      </c>
      <c r="C6" s="125" t="s">
        <v>160</v>
      </c>
      <c r="D6" s="125">
        <v>4</v>
      </c>
      <c r="E6" s="125">
        <v>0</v>
      </c>
      <c r="F6" s="125">
        <v>0</v>
      </c>
      <c r="G6" s="125">
        <v>0</v>
      </c>
      <c r="H6" s="125" t="s">
        <v>73</v>
      </c>
      <c r="I6" s="125">
        <v>2021</v>
      </c>
      <c r="J6" s="56">
        <v>45993.666701388887</v>
      </c>
      <c r="K6" s="56">
        <v>45993.625034722223</v>
      </c>
    </row>
    <row r="7" spans="1:11" x14ac:dyDescent="0.2">
      <c r="A7" s="125" t="s">
        <v>139</v>
      </c>
      <c r="B7" s="125" t="s">
        <v>203</v>
      </c>
      <c r="C7" s="125" t="s">
        <v>204</v>
      </c>
      <c r="D7" s="125">
        <v>6</v>
      </c>
      <c r="E7" s="125">
        <v>0</v>
      </c>
      <c r="F7" s="125">
        <v>0</v>
      </c>
      <c r="G7" s="125">
        <v>0</v>
      </c>
      <c r="H7" s="125" t="s">
        <v>73</v>
      </c>
      <c r="I7" s="125">
        <v>2039</v>
      </c>
      <c r="J7" s="56">
        <v>46001.819432870368</v>
      </c>
      <c r="K7" s="56">
        <v>46001.777766203704</v>
      </c>
    </row>
    <row r="8" spans="1:11" x14ac:dyDescent="0.2">
      <c r="A8" s="125" t="s">
        <v>139</v>
      </c>
      <c r="B8" s="125" t="s">
        <v>209</v>
      </c>
      <c r="C8" s="125" t="s">
        <v>210</v>
      </c>
      <c r="D8" s="125">
        <v>10</v>
      </c>
      <c r="E8" s="125">
        <v>1</v>
      </c>
      <c r="F8" s="125">
        <v>0</v>
      </c>
      <c r="G8" s="125">
        <v>1</v>
      </c>
      <c r="H8" s="125" t="s">
        <v>73</v>
      </c>
      <c r="I8" s="125">
        <v>2044</v>
      </c>
      <c r="J8" s="56">
        <v>46002.971747685187</v>
      </c>
      <c r="K8" s="56">
        <v>46009.40552083333</v>
      </c>
    </row>
    <row r="9" spans="1:11" x14ac:dyDescent="0.2">
      <c r="A9" s="125" t="s">
        <v>139</v>
      </c>
      <c r="B9" s="125" t="s">
        <v>216</v>
      </c>
      <c r="C9" s="125" t="s">
        <v>217</v>
      </c>
      <c r="D9" s="125">
        <v>2</v>
      </c>
      <c r="E9" s="125">
        <v>1</v>
      </c>
      <c r="F9" s="125">
        <v>0</v>
      </c>
      <c r="G9" s="125">
        <v>1</v>
      </c>
      <c r="H9" s="125" t="s">
        <v>73</v>
      </c>
      <c r="I9" s="125">
        <v>2047</v>
      </c>
      <c r="J9" s="56">
        <v>46003.557025462964</v>
      </c>
      <c r="K9" s="56">
        <v>46003.5153587963</v>
      </c>
    </row>
    <row r="10" spans="1:11" x14ac:dyDescent="0.2">
      <c r="A10" s="125" t="s">
        <v>139</v>
      </c>
      <c r="B10" s="125" t="s">
        <v>224</v>
      </c>
      <c r="C10" s="125" t="s">
        <v>225</v>
      </c>
      <c r="D10" s="125">
        <v>2</v>
      </c>
      <c r="E10" s="125">
        <v>3</v>
      </c>
      <c r="F10" s="125">
        <v>0</v>
      </c>
      <c r="G10" s="125">
        <v>0</v>
      </c>
      <c r="H10" s="125" t="s">
        <v>73</v>
      </c>
      <c r="I10" s="125">
        <v>2053</v>
      </c>
      <c r="J10" s="56">
        <v>46003.790347222224</v>
      </c>
      <c r="K10" s="56">
        <v>46003.748680555553</v>
      </c>
    </row>
    <row r="11" spans="1:11" x14ac:dyDescent="0.2">
      <c r="A11" s="125" t="s">
        <v>139</v>
      </c>
      <c r="B11" s="125" t="s">
        <v>232</v>
      </c>
      <c r="C11" s="125" t="s">
        <v>233</v>
      </c>
      <c r="D11" s="125">
        <v>2</v>
      </c>
      <c r="E11" s="125">
        <v>0</v>
      </c>
      <c r="F11" s="125">
        <v>0</v>
      </c>
      <c r="G11" s="125">
        <v>0</v>
      </c>
      <c r="H11" s="125" t="s">
        <v>73</v>
      </c>
      <c r="I11" s="125">
        <v>2056</v>
      </c>
      <c r="J11" s="56">
        <v>46003.903680555559</v>
      </c>
      <c r="K11" s="56">
        <v>46003.862013888887</v>
      </c>
    </row>
    <row r="12" spans="1:11" x14ac:dyDescent="0.2">
      <c r="A12" s="125" t="s">
        <v>139</v>
      </c>
      <c r="B12" s="125" t="s">
        <v>267</v>
      </c>
      <c r="C12" s="125" t="s">
        <v>268</v>
      </c>
      <c r="D12" s="125">
        <v>2</v>
      </c>
      <c r="E12" s="125">
        <v>0</v>
      </c>
      <c r="F12" s="125">
        <v>0</v>
      </c>
      <c r="G12" s="125">
        <v>0</v>
      </c>
      <c r="H12" s="125" t="s">
        <v>73</v>
      </c>
      <c r="I12" s="125">
        <v>2071</v>
      </c>
      <c r="J12" s="56">
        <v>46005.92732638889</v>
      </c>
      <c r="K12" s="56">
        <v>46005.885659722226</v>
      </c>
    </row>
    <row r="13" spans="1:11" x14ac:dyDescent="0.2">
      <c r="A13" s="125" t="s">
        <v>139</v>
      </c>
      <c r="B13" s="125" t="s">
        <v>272</v>
      </c>
      <c r="C13" s="125" t="s">
        <v>273</v>
      </c>
      <c r="D13" s="125">
        <v>1</v>
      </c>
      <c r="E13" s="125">
        <v>1</v>
      </c>
      <c r="F13" s="125">
        <v>1</v>
      </c>
      <c r="G13" s="125">
        <v>0</v>
      </c>
      <c r="H13" s="125" t="s">
        <v>73</v>
      </c>
      <c r="I13" s="125">
        <v>2079</v>
      </c>
      <c r="J13" s="56">
        <v>46006.603842592594</v>
      </c>
      <c r="K13" s="56">
        <v>46006.562175925923</v>
      </c>
    </row>
    <row r="14" spans="1:11" x14ac:dyDescent="0.2">
      <c r="A14" s="125" t="s">
        <v>139</v>
      </c>
      <c r="B14" s="125" t="s">
        <v>260</v>
      </c>
      <c r="C14" s="125" t="s">
        <v>294</v>
      </c>
      <c r="D14" s="125">
        <v>3</v>
      </c>
      <c r="E14" s="125">
        <v>0</v>
      </c>
      <c r="F14" s="125">
        <v>0</v>
      </c>
      <c r="G14" s="125">
        <v>0</v>
      </c>
      <c r="H14" s="125" t="s">
        <v>73</v>
      </c>
      <c r="I14" s="125">
        <v>2086</v>
      </c>
      <c r="J14" s="56">
        <v>46006.753946759258</v>
      </c>
      <c r="K14" s="56">
        <v>46006.712280092594</v>
      </c>
    </row>
    <row r="15" spans="1:11" x14ac:dyDescent="0.2">
      <c r="A15" s="125" t="s">
        <v>139</v>
      </c>
      <c r="B15" s="125" t="s">
        <v>303</v>
      </c>
      <c r="C15" s="125" t="s">
        <v>304</v>
      </c>
      <c r="D15" s="125">
        <v>5</v>
      </c>
      <c r="E15" s="125">
        <v>0</v>
      </c>
      <c r="F15" s="125">
        <v>0</v>
      </c>
      <c r="G15" s="125">
        <v>0</v>
      </c>
      <c r="H15" s="125" t="s">
        <v>73</v>
      </c>
      <c r="I15" s="125">
        <v>2095</v>
      </c>
      <c r="J15" s="56">
        <v>46011.05127314815</v>
      </c>
      <c r="K15" s="56">
        <v>46011.009606481479</v>
      </c>
    </row>
    <row r="16" spans="1:11" x14ac:dyDescent="0.2">
      <c r="A16" s="125" t="s">
        <v>139</v>
      </c>
      <c r="B16" s="125" t="s">
        <v>306</v>
      </c>
      <c r="C16" s="125" t="s">
        <v>307</v>
      </c>
      <c r="D16" s="125">
        <v>1</v>
      </c>
      <c r="E16" s="125">
        <v>0</v>
      </c>
      <c r="F16" s="125">
        <v>0</v>
      </c>
      <c r="G16" s="125">
        <v>1</v>
      </c>
      <c r="H16" s="125" t="s">
        <v>73</v>
      </c>
      <c r="I16" s="125">
        <v>2098</v>
      </c>
      <c r="J16" s="56">
        <v>46011.56690972222</v>
      </c>
      <c r="K16" s="56">
        <v>46011.525243055556</v>
      </c>
    </row>
    <row r="17" spans="1:11" x14ac:dyDescent="0.2">
      <c r="A17" s="125" t="s">
        <v>139</v>
      </c>
      <c r="B17" s="125" t="s">
        <v>345</v>
      </c>
      <c r="C17" s="125" t="s">
        <v>346</v>
      </c>
      <c r="D17" s="125">
        <v>3</v>
      </c>
      <c r="E17" s="125">
        <v>0</v>
      </c>
      <c r="F17" s="125">
        <v>0</v>
      </c>
      <c r="G17" s="125">
        <v>0</v>
      </c>
      <c r="H17" s="125" t="s">
        <v>73</v>
      </c>
      <c r="I17" s="125">
        <v>2113</v>
      </c>
      <c r="J17" s="56">
        <v>46013.483194444445</v>
      </c>
      <c r="K17" s="56">
        <v>46013.441527777781</v>
      </c>
    </row>
    <row r="18" spans="1:11" x14ac:dyDescent="0.2">
      <c r="A18" s="125" t="s">
        <v>139</v>
      </c>
      <c r="B18" s="125" t="s">
        <v>359</v>
      </c>
      <c r="C18" s="125" t="s">
        <v>360</v>
      </c>
      <c r="D18" s="125">
        <v>9</v>
      </c>
      <c r="E18" s="125">
        <v>0</v>
      </c>
      <c r="F18" s="125">
        <v>2</v>
      </c>
      <c r="G18" s="125">
        <v>3</v>
      </c>
      <c r="H18" s="125" t="s">
        <v>73</v>
      </c>
      <c r="I18" s="125">
        <v>2120</v>
      </c>
      <c r="J18" s="56">
        <v>46014.645972222221</v>
      </c>
      <c r="K18" s="56">
        <v>46014.623148148145</v>
      </c>
    </row>
    <row r="19" spans="1:11" x14ac:dyDescent="0.2">
      <c r="A19" s="125" t="s">
        <v>139</v>
      </c>
      <c r="B19" s="125" t="s">
        <v>393</v>
      </c>
      <c r="C19" s="125" t="s">
        <v>394</v>
      </c>
      <c r="D19" s="125">
        <v>6</v>
      </c>
      <c r="E19" s="125">
        <v>7</v>
      </c>
      <c r="F19" s="125">
        <v>0</v>
      </c>
      <c r="G19" s="125">
        <v>1</v>
      </c>
      <c r="H19" s="125" t="s">
        <v>73</v>
      </c>
      <c r="I19" s="125">
        <v>2132</v>
      </c>
      <c r="J19" s="56">
        <v>46016.669062499997</v>
      </c>
      <c r="K19" s="56">
        <v>46019.851469907408</v>
      </c>
    </row>
    <row r="20" spans="1:11" x14ac:dyDescent="0.2">
      <c r="A20" s="125" t="s">
        <v>139</v>
      </c>
      <c r="B20" s="125" t="s">
        <v>388</v>
      </c>
      <c r="C20" s="125" t="s">
        <v>389</v>
      </c>
      <c r="D20" s="125">
        <v>3</v>
      </c>
      <c r="E20" s="125">
        <v>0</v>
      </c>
      <c r="F20" s="125">
        <v>0</v>
      </c>
      <c r="G20" s="125">
        <v>0</v>
      </c>
      <c r="H20" s="125" t="s">
        <v>73</v>
      </c>
      <c r="I20" s="125">
        <v>2136</v>
      </c>
      <c r="J20" s="56">
        <v>46017.442430555559</v>
      </c>
      <c r="K20" s="56">
        <v>46017.400763888887</v>
      </c>
    </row>
    <row r="21" spans="1:11" x14ac:dyDescent="0.2">
      <c r="A21" s="125" t="s">
        <v>139</v>
      </c>
      <c r="B21" s="125" t="s">
        <v>403</v>
      </c>
      <c r="C21" s="125" t="s">
        <v>404</v>
      </c>
      <c r="D21" s="125">
        <v>3</v>
      </c>
      <c r="E21" s="125">
        <v>0</v>
      </c>
      <c r="F21" s="125">
        <v>0</v>
      </c>
      <c r="G21" s="125">
        <v>0</v>
      </c>
      <c r="H21" s="125" t="s">
        <v>73</v>
      </c>
      <c r="I21" s="125">
        <v>2145</v>
      </c>
      <c r="J21" s="56">
        <v>46018.570960648147</v>
      </c>
      <c r="K21" s="56">
        <v>46018.529293981483</v>
      </c>
    </row>
    <row r="22" spans="1:11" x14ac:dyDescent="0.2">
      <c r="A22" s="125" t="s">
        <v>139</v>
      </c>
      <c r="B22" s="125" t="s">
        <v>418</v>
      </c>
      <c r="C22" s="125" t="s">
        <v>419</v>
      </c>
      <c r="D22" s="125">
        <v>2</v>
      </c>
      <c r="E22" s="125">
        <v>0</v>
      </c>
      <c r="F22" s="125">
        <v>0</v>
      </c>
      <c r="G22" s="125">
        <v>0</v>
      </c>
      <c r="H22" s="125" t="s">
        <v>73</v>
      </c>
      <c r="I22" s="125">
        <v>2150</v>
      </c>
      <c r="J22" s="56">
        <v>46019.632465277777</v>
      </c>
      <c r="K22" s="56">
        <v>46021.38003472222</v>
      </c>
    </row>
    <row r="23" spans="1:11" x14ac:dyDescent="0.2">
      <c r="A23" s="125" t="s">
        <v>139</v>
      </c>
      <c r="B23" s="125" t="s">
        <v>429</v>
      </c>
      <c r="C23" s="125" t="s">
        <v>430</v>
      </c>
      <c r="D23" s="125">
        <v>4</v>
      </c>
      <c r="E23" s="125">
        <v>0</v>
      </c>
      <c r="F23" s="125">
        <v>0</v>
      </c>
      <c r="G23" s="125">
        <v>0</v>
      </c>
      <c r="H23" s="125" t="s">
        <v>73</v>
      </c>
      <c r="I23" s="125">
        <v>2159</v>
      </c>
      <c r="J23" s="56">
        <v>46019.980833333335</v>
      </c>
      <c r="K23" s="56">
        <v>46019.939166666663</v>
      </c>
    </row>
    <row r="24" spans="1:11" x14ac:dyDescent="0.2">
      <c r="A24" s="125" t="s">
        <v>139</v>
      </c>
      <c r="B24" s="125" t="s">
        <v>332</v>
      </c>
      <c r="C24" s="125" t="s">
        <v>333</v>
      </c>
      <c r="D24" s="125">
        <v>1</v>
      </c>
      <c r="E24" s="125">
        <v>0</v>
      </c>
      <c r="F24" s="125">
        <v>0</v>
      </c>
      <c r="G24" s="125">
        <v>1</v>
      </c>
      <c r="H24" s="125" t="s">
        <v>73</v>
      </c>
      <c r="I24" s="125">
        <v>2163</v>
      </c>
      <c r="J24" s="56">
        <v>46020.857106481482</v>
      </c>
      <c r="K24" s="56">
        <v>46020.815439814818</v>
      </c>
    </row>
    <row r="25" spans="1:11" x14ac:dyDescent="0.2">
      <c r="A25" s="125" t="s">
        <v>139</v>
      </c>
      <c r="B25" s="125" t="s">
        <v>267</v>
      </c>
      <c r="C25" s="125" t="s">
        <v>268</v>
      </c>
      <c r="D25" s="125">
        <v>1</v>
      </c>
      <c r="E25" s="125">
        <v>0</v>
      </c>
      <c r="F25" s="125">
        <v>0</v>
      </c>
      <c r="G25" s="125">
        <v>0</v>
      </c>
      <c r="H25" s="125" t="s">
        <v>73</v>
      </c>
      <c r="I25" s="125">
        <v>2166</v>
      </c>
      <c r="J25" s="56">
        <v>46021.874525462961</v>
      </c>
      <c r="K25" s="56">
        <v>46021.832858796297</v>
      </c>
    </row>
    <row r="26" spans="1:11" x14ac:dyDescent="0.2">
      <c r="A26" s="125" t="s">
        <v>139</v>
      </c>
      <c r="B26" s="125" t="s">
        <v>443</v>
      </c>
      <c r="C26" s="125" t="s">
        <v>444</v>
      </c>
      <c r="D26" s="125">
        <v>3</v>
      </c>
      <c r="E26" s="125">
        <v>1</v>
      </c>
      <c r="F26" s="125">
        <v>0</v>
      </c>
      <c r="G26" s="125">
        <v>1</v>
      </c>
      <c r="H26" s="125" t="s">
        <v>73</v>
      </c>
      <c r="I26" s="125">
        <v>2170</v>
      </c>
      <c r="J26" s="56">
        <v>46021.892650462964</v>
      </c>
      <c r="K26" s="56">
        <v>46021.850983796299</v>
      </c>
    </row>
    <row r="27" spans="1:11" x14ac:dyDescent="0.2">
      <c r="A27" t="s">
        <v>79</v>
      </c>
      <c r="C27">
        <f>SUBTOTAL(103,Bielemantreffen[Naam vereniging])</f>
        <v>21</v>
      </c>
      <c r="D27">
        <f>SUBTOTAL(109,Bielemantreffen[Senioren])</f>
        <v>73</v>
      </c>
      <c r="E27">
        <f>SUBTOTAL(109,Bielemantreffen[Jong Volwassene])</f>
        <v>14</v>
      </c>
      <c r="F27">
        <f>SUBTOTAL(109,Bielemantreffen[Junioren])</f>
        <v>3</v>
      </c>
      <c r="G27">
        <f>SUBTOTAL(109,Bielemantreffen[Aspiranten])</f>
        <v>9</v>
      </c>
      <c r="K27">
        <f>SUBTOTAL(103,Bielemantreffen[Date Updated])</f>
        <v>21</v>
      </c>
    </row>
  </sheetData>
  <mergeCells count="2">
    <mergeCell ref="C1:G1"/>
    <mergeCell ref="C2:G2"/>
  </mergeCells>
  <phoneticPr fontId="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5ad308b-2083-401f-bfeb-b2b7430ea54a">
      <UserInfo>
        <DisplayName>schietcommissie</DisplayName>
        <AccountId>29</AccountId>
        <AccountType/>
      </UserInfo>
      <UserInfo>
        <DisplayName>jurycollege</DisplayName>
        <AccountId>28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8E49110E16CA4CAD6807469259A23F" ma:contentTypeVersion="6" ma:contentTypeDescription="Een nieuw document maken." ma:contentTypeScope="" ma:versionID="dfe0aee4d1d2b024554658c0e0b6a7a0">
  <xsd:schema xmlns:xsd="http://www.w3.org/2001/XMLSchema" xmlns:xs="http://www.w3.org/2001/XMLSchema" xmlns:p="http://schemas.microsoft.com/office/2006/metadata/properties" xmlns:ns2="16868e8d-a882-449e-81d4-1ad0b5292899" xmlns:ns3="65ad308b-2083-401f-bfeb-b2b7430ea54a" targetNamespace="http://schemas.microsoft.com/office/2006/metadata/properties" ma:root="true" ma:fieldsID="314c23d15598836315b3dbe93a35882c" ns2:_="" ns3:_="">
    <xsd:import namespace="16868e8d-a882-449e-81d4-1ad0b5292899"/>
    <xsd:import namespace="65ad308b-2083-401f-bfeb-b2b7430ea5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68e8d-a882-449e-81d4-1ad0b5292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ad308b-2083-401f-bfeb-b2b7430ea54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0 2 2 d 2 2 a 6 - b 1 d a - 4 d a 3 - a 0 1 9 - c 5 2 2 1 2 f 9 2 e 0 a "   x m l n s = " h t t p : / / s c h e m a s . m i c r o s o f t . c o m / D a t a M a s h u p " > A A A A A O 2 y A A B Q S w M E F A A A C A g A 3 F M h X L G / U E 6 l A A A A 9 g A A A B I A A A B D b 2 5 m a W c v U G F j a 2 F n Z S 5 4 b W y F j 0 E O g j A U R K 9 C u q c t K I k h n 7 J w C 8 b E x L g l p U I j f A w t l r u 5 8 E h e Q Y y i 7 l z O z J t k 5 n 6 9 Q T q 2 j X d R v d E d J i S g n H g K Z V d q r B I y 2 K O / I q m A b S F P R a W 8 C U Y T j 0 Y n p L b 2 H D P m n K N u Q b u + Y i H n A T v k 2 U 7 W q i 1 8 j c Y W K B X 5 t M r / L S J g / x o j Q h p E n C 5 5 R D m w 2 Y R c 4 x c I p 7 3 P 9 M e E 9 d D Y o V c C G 3 + T A Z s l s P c H 8 Q B Q S w M E F A A A C A g A 3 F M h X H n O B a l D s A A A 6 c M F A B M A A A B G b 3 J t d W x h c y 9 T Z W N 0 a W 9 u M S 5 t 7 L 3 r b t x G k z / 8 P c B z D 4 T 2 w 8 q A L E 0 X D z O z + 2 Y X U v Q k s e w c d u U 4 w A Z G M J J o e a w 5 C H O w n y T w B e 1 1 7 I 2 9 T X I O X d V V z S K H + g M P k n x w R E 6 x 2 V 1 V 3 V 3 1 Y 3 X V M r 9 d j e e z 6 L r 6 v / n 3 v 3 3 x t y + W 7 0 e L / C 5 6 e f l d 9 G U 0 y V d f R P a / i 4 U l + z L 6 a v n x 9 H J + u 5 7 m s 9 X x 1 + N J f v r V f L a y F 8 v j o 7 O f l v l i e b b 6 k N / c 5 O b s 1 f h m M V r 8 d v b V Z L 6 + u 1 7 N F 6 P 7 / O y H W X 6 5 G H / M n 3 + d 3 + W L 0 W q c f x z N v s k n 9 m K Z X 9 + + X 6 9 W 9 q / 7 s b 0 x y 2 f b G + M P 9 u / V 6 b f r m 3 y x W i / P v r E / L k a T 6 H n 0 4 r V 9 / a f x w 0 M + G c / u z 1 7 M l r f v L f l H e 5 H P z q A H 2 d n t 8 m N 0 k y 9 X o 5 l t 8 + z l w v 5 0 N y p + t Q M s C E 4 t w d G z k + i X S 9 v G d G x f Z 8 d 5 d H J 0 E n 0 1 n 6 y n s 6 W 9 z H r J S f T 3 2 e 3 8 z j 5 d X K e 9 n n n 7 7 K R k z b 8 c f Z u P i g F E 0 3 w V f c w X 7 + f z + 7 t o Z o c 5 W h 9 Z 6 t e j G 8 u o H x f z 6 X y V b 2 i P C 4 b a l 2 7 u n k 8 m 1 7 e j y W i x / H K 1 W O d V 0 0 X D q + h h P p l P V 7 8 9 5 t F 4 G d 3 n n 8 Y f f h / f 3 + 3 b f b 0 Y z Z b v 5 o t p 1 d 3 X l n J 5 H O 7 T S f T H H 0 d v 8 k U + G 9 / b A S 1 n 6 + k 0 X x y d l G 9 Z 5 f 9 Y f T 7 5 4 + h y t F p P o y 2 / 7 D P l r 3 e j V f 7 Z P n 9 0 / O b F + b P o m / x m P l + s 8 r u C 2 G i I Q E M U a 4 g S D V G q I c o 0 R H 0 N 0 U B D N F Q x s 6 e i U v H c q J h u V F w 3 K r Y b F d + N i v F G x X m j Y r 1 R 8 R 4 Y 3 l / U K z s l Y b h O S R i W U x K G 3 5 S E Y T Y l Y T h N S R g 2 U x K G x 5 S E Y b D H O g 1 7 F f z l 1 N q j U X C Y U 2 m P R s F j T p 0 9 G g W X O V X 2 a B R 8 1 q g x a P R Y w W d Q 8 B k U f A Y F n 0 H B Z 1 D w G R R 8 B g W f Y 2 m p v s z z y W w 0 z a P Z a D S N C k 6 / m K 2 y 5 L T Y o 0 U y 0 J H F O r J E R 5 b p y F I d W V 9 H N t C R D X V k 5 a q i o V P K w S g F Y Z S S M E p R G C W T j V J m R i k N o x S H U c o D O H l c a C a F R 8 R J w i P i x O A R c T L w i D g B e E Q c 9 z 0 i j v U e E c d 3 j 4 h j u s 9 M H c t V P G f V 3 6 d S c Z 1 V f Z 9 K x X d W 7 X 0 q F e d Z l f e p V L z X q T v o 9 F 3 F e 1 D x H l S 8 B x X v Q c V 7 U P E e V L w H F e 9 j c e m v t X U Y K p W z x N k 7 D J X K W e J s H o Z K 5 S x x d g 9 D p X K W O N u H 8 d V 1 1 g + r + R y d c t t l t Z + j U 2 6 7 7 A z g 6 J T b L j s L O D r l t s v O B M 4 u Z O b C i 9 n v + e y u l J Y r q 9 V 4 W v 1 + a S + i n x 6 L e 3 c e w e c N F n U + m t 3 n j 6 P l K h q v 8 m m 0 m u f 3 + U f 7 j w N F n d / d V S D U c R C 6 O o m O J n n + b j X + c F c o R T 6 6 f R + N 3 0 W / / I t g N r + 1 L z D R 6 n 0 + i 7 5 f T 2 / y x e l / z 9 e z u 8 v 5 p 9 n x 5 b p A E e e z 0 8 v R b 8 v j X z B o 9 f b 5 r k 3 i u 7 9 9 d h Z n 6 b M o n y z z q L c Z 4 R t L 8 W k 0 W t z l k / G H h 7 z q f l R A i Y F x y m y x w 3 z z w + w u t + 3 l E z T Q 3 e j f R v 9 h h z a o x n Z k O 3 p 9 V H W J U H 0 Z 9 T Y 0 3 / z 9 7 9 / z N P + f b c n s W z r f U B V / X x 3 V y d D w g 6 v j i C N J q J c k O J L 8 o h t J Q i t J C q M N c A f J E j h Z g k q W o J A l H C h L a C V L 4 w o z r h d m 3 L 0 w 4 1 b C F I Y b Y A 8 S Z s w J M 1 Y J M 1 Y I M 6 4 X Z q C v c S t R g i v K p F 6 U S f e i T F q J U h h u g D 1 I l A k n y k Q l y k Q h y u Q g U S a t R B m 7 o k z r R Z l 2 L 8 q 0 l S i F 4 Q b Y g 0 S Z c q J M V a J M F a J M D x J l 2 k q U i S v K r F 6 U W f e i z F q J U h h u g D 1 I l B k n y k w l y k w h y u w g U W a t R J m 6 o u z X i 7 L f v S j 7 r U Q p D D f A H i T K P i f K v k q U f Y U o + w e J s t 9 K l J k r y k G 9 K A f d i 3 L Q S p T C c A P s Q a I c c K I c q E Q 5 U I h y c J A o B 6 1 E 2 X d F O a w X 5 b B 7 U Q 5 b i V I Y b o A 9 S J R D T p R D l S i H C l E O D x L l s J U o B w g j 6 C l A g l 7 3 w i z a b C F N Y c Q B D m G g o M e J 0 / R 0 U E F P g x X 0 D p K o 7 W A b k Q 6 R S D W 4 j 3 k C k b Z D f q Q h h 3 i E h c r D P 0 r 8 R w U A K R C g U I f b A U D V O H d 9 U G B A 5 g l A I N M S B W o M A x E c y L B A k N E h Q U Y D B R k F F h T q c E s o C G F B R g E G m S d A g 0 w 7 O E g a c 4 h J W K o s I m R 0 k J D R Y E L m M F D I t E O F D I K F j A I X M k 8 A D J l 2 y J A 0 5 h C T s F R Z c M j o 0 C G j g Y f M Y f i Q a Q c Q G Y Q Q G Q V E Z J 4 A I z L t Q C J p z C E m Y a m y O J H R A U V G g x S Z w 6 A i 0 w 4 r M g g s M g q 0 y D w B X G T a 4 U X S m E N M w l J l I S O j w 4 y M B j Q y h 6 F G p h 1 s Z B B u Z B T A k X k C 5 M i 0 g 4 6 k M Y e Y h K X K o k d G B x 8 Z D X 5 k D g O Q T D s E y S A I y S g w J P M E I J J p h y J J Y w 4 x C U u V B Z K M D k k y G i j J H I Y l m X Z g k k F o k l H A S e Y J 8 C T T D l C S x h x i E p Y q i y k Z H a h k N K i S O Q x W M u 1 w J Y O A J V A A S / A E w B K 0 A 5 a k M Y e Y h O M W W G g J d N A S a K A l O A x a g n b Q k k H Y E i i w J X g C b A n a Y U v S m E N M w l J l s S X Q Y U u g w Z b g M G w J 2 m F L g L A l 0 M Q X P U W A U T t s S R p z i E l Y q n y Q k T L K S B V m d B i 2 B O 2 w J U D Y E i i w J X g C b A l a h h o 1 j j U i 2 B K w 2 B L o s C X Q Y E t w G L Y E L S O O E L Y E C m w J n g B b g n b Y k j T m E J O w V F l s C X T Y E m i w J T g M W 4 J 2 2 B I g b A k U 2 B I 8 A b Y E 7 b A l a c w h J m G p s t g S 6 L A l 0 G B L c B i 2 B O 2 w J U D Y E i i w J X g C b A n a Y U v S m E N M w l J l s S X Q Y U u g w Z b g M G w J 2 m F L g L A l U G B L 8 A T Y E r T D l q Q x h 5 i E p c p i S 6 D D l k C D L c F h 2 B K 0 w 5 Y A Y U u g w J b g C b A l a I c t S W M O M Q l L l c W W Q I c t g Q Z b g s O w J W i H L Q H C l k C B L c E T Y E v Q D l u S x h x i E p Y q i y 2 B D l s C D b Y E h 2 F L 0 A 5 b A o Q t x Q p s K X 4 C b C l u h y 1 J Y w 4 x C R + j Y L G l W I c t x R p s K T 4 M W 4 r b Y U u b c R b 9 3 o z v 1 X i 5 O v 3 K S m l 1 X P 5 5 n U / y 2 9 X x H 7 8 4 8 O n b E + c K 0 F W M r h J 0 l a K r D F 3 1 0 d U A X Q 3 R l e n h S 9 u b y L 3 G / T G 4 Q y Y h 1 L h P B n f K 4 F 4 Z 3 C 2 D + w U 9 3 D Q Q N u F + A e 4 X Y E 4 B 7 h b g b g H u F u B u A e 6 W 1 a v P G 9 H + W m T + K m X 9 7 F m N N j X F d + L e R o + u / t K j D v T o n 0 K N r u r V q C m g F J u N G p 3 / p U Z / F j U 6 r 9 S o 2 M W / t 7 b D L P o 4 m l X b V H G x O 1 Y d O U v S f + e F l b H J X x j U p w K 4 K 5 I B V h v c 0 f n t Y n 5 z G i 3 z 2 X i + s K 2 P Z 3 f j j 6 d H u 0 P g w Q 6 A 3 I G a j m / 7 c O X 0 4 c O a 9 K E 4 q b 7 R / C 3 N a P k 4 X o y K B J R e T 1 9 u 3 / M x X 9 g X F e x 1 u z e d f 9 R 2 r 2 T R x t a y j F y N J r b N W W E v F P k V x 7 P o f b 6 K H h f z d + N 8 U v Z t c p 9 P 8 3 z 2 n + V U L S k / 5 X f L 1 a L o h X v X v u V h M l o u x / k D v j s q R m d t v + X t e / G H 6 C 5 f j c a T J S Z Y v p 9 / K u 9 8 t / 7 d N h v R F / u 3 U T s X d g j 5 1 L K B P r f 7 w a X + b v T B C m i 1 y v 3 X c L + Q Z x c P e Z k 4 d G X l Q x 6 / v n 0 / L n 4 s L 1 6 t b 9 + v r D T y f L G / f r R L 3 X w + K W + 8 X K z H S 2 s C 3 5 d X 3 4 5 m d 7 s L 5 9 n o Q 7 6 + v y v v / v 3 5 1 P Z j d L f I l 8 U l 5 B G 5 8 + J H K / 4 b 2 + x D v j g K K B S e c l i l O P 3 b 6 9 G b v Q K 5 M i 2 V e H y 3 z i t N K m z T w l O o N P 6 9 5 d T 2 S s i + K e Y d 2 z X 1 q 8 G N / Q p C c y A 1 B 6 i 5 m D S X C M 3 F U n M x a i 4 l z W V C c 4 n U X I K a 6 5 P m B k J z q d R c i p o b k u a q 8 H c h o a i Y Z 8 2 R B R W G k a T R l x r s 4 w a p O I w k j 4 H U 4 A A 3 S A V i J I k M p Q a H u E E q E i P J x G U u U e g e b p K K B S S x G H m O 4 E k C 3 i y R B G P E e W L w R A E q G p B E Y 8 S 5 Y v B k A S o c k I R j x P l i 8 I Q B K h 4 Q x S P O G Y M n D V D x x K J 4 x G l j 8 L y J q X h i U T z i x D F 4 5 s R U P L E o H n H q G D x 3 Y i q e W B S P O H k M n j 0 x F U 8 s i Q f E 2 e P F j + A 4 C 3 p y C Z / b o o f V 8 E E 9 G k W G Y + h o 5 C C O m 6 T R o j h W l k Y I 4 / h o G h W O Y + L p S Q B 8 D o K e / s B n X + i J H 3 z e i f A K s Y p w C j G K 8 A m x i X A J M Y n w C L G I c A g x i P A H s Y d + y 0 b K Q E a P B o 8 V k 0 7 y R J r k I K 7 B g J t M 6 C R P R F N F t l X w G p x 4 1 o o 0 y U F c g w G v w Q m d 5 I k 0 y U F c g w G v w Q m d 5 I k 4 y c U 1 G P A a n F D x p K J 4 x D U Y 8 B q c U v G k o n j E N R j w G p x S 8 a S i e M Q 1 G P A a n F L x p K J 4 x D U Y 8 B q c U v G k k n h i c Q 2 O 8 Z p L Y 7 9 w j B S N I c J T l M 5 f H L N B Y x r w t 3 / 6 b R x / Q 6 b f W P G 3 S P q t D n / T o t 9 8 c N w t j U t F C 2 d M V l V 7 X Z u C L h Z C e H i f z T b / y l n F 3 K 8 0 T H 7 a 9 t n n o u f b N j X Z 5 + T B N Y 1 k q W y Z V 8 4 i H h w i d D 9 E I W h S 7 n H T s I 7 K O n v l 7 G H B I c Z H b 7 / s d I C 7 + E H l + J o G O F S 2 4 y t n / w 6 O L + l 6 f E n D 8 T X 9 1 F + Z w q 8 c 2 y U 4 v r T r 8 a U N x 9 f 0 o 3 d l q L 9 y 7 L b g + L K u x 5 c 1 H F / T z 7 + V 3 / H K s V m D 4 + t 3 P b 5 + s / E l T Y P s K 3 v 2 l W O v B 8 c 3 6 H p 8 Q s S N P M C m 3 y M r + / y V 4 6 w E B z j s e o B C 8 I n c 3 6 Z f y h K 8 z 9 N w D C 5 3 e s d D l P L H y F 1 u G o h c e U S v X G c 1 P E b T + R i b G j N J 4 8 S A y J j x U o x w e e u 7 H m N T a y Z p a s 0 k y J r x E m 5 w W f e 7 H q N w I E L u c l O L J k E W j Z d + g q s Z 0 P U Y h e M B c p e b W j U J s m q 8 Z A x c x Y O u x y g E y 8 t d b m r Z J M i y 8 V I T c P U a u h 6 j E D o u d 7 m p d Z M g 6 8 Y 7 q M 9 V m + h 6 j E I g t Z x 0 s 6 m F k y A L x z u 2 z t X K 6 H q M T Y 2 c t K m R k y I j x z v E z V X 6 6 H q M T e 2 c t K m d k y I 7 x z v S z N U p 6 X i M 0 n F m u c t N 7 Z w U 2 T n e A V + u y k r X Y 2 x q 5 6 R N 7 Z w U g z b 1 q E 3 n d o 5 0 1 F X u c u P M w M j O 8 Q 5 / c h V u u h 5 j U z s n b W r n p M j O 8 Y 5 C c v V 5 u h 5 j U z s n b W r n p M j O 8 Q 4 G c t W F u h 5 j U z s n b W r n p M j O 8 Y 7 J c b W R u h 5 j U z s n b W r n p M j O 8 Q 6 N c Z W d u h 5 j U z s n a 2 r n p M j O 8 Y 5 Q c X W p u h 5 j U z s n a 2 r n Z M j O 8 Q 4 U c V W 1 u h 5 j U z s n a 2 r n Z M j O 8 Y 7 X c D X B u s b 8 2 x 2 t k Q 6 e h F h j R 3 q B P r v v h r o z Z g M n Z h y a / / j S G k M b q o s X 1 z x R c a o m 3 h G d 8 0 S W J t n R X I k 0 a R 1 N 8 b J t v 7 / + 4 a f X 2 y M 8 F 1 c / H y k Z 2 i 6 f S P V d 8 Q J F O n h s D S X O c G j q 2 Q o a t o K C r a B g K 3 T C 1 n Y J P a p Y r A s U X O K x N Z S 5 w q G p Z 2 u s Y e u G K M z X W M H X u B O + t k u p E Z N V I O H 4 G s o d 4 d D U 8 z X R 8 D V R q G u i Y G v S C V t b F t S J M V t T j q 2 h 5 A 0 O T T 1 b U w 1 b U w V b U w V b 0 0 7 Y 2 i 6 p R P U 9 / g K F r X l s D W V P c G j q 2 Z p p 2 J o p 2 J o p 2 J p 1 w t Z 2 W R 2 q M I A L F C n o s T W U v s C h q W d r X 8 P W v o K t f Q V b + 5 2 w t V 1 a h S r 6 4 A I F Z 3 p s D e U P c G j q 2 T r Q s H W g Y O t A w d Z B J 2 x t l 9 e g C n q 4 Q P G w H l t D B / g d m n q 2 D j V s H S r Y O l S w d d g J W 9 s l F q h i L S 5 w E L L v E I T O 0 L t E C p e g p / I J e h q n o K f x C n p d c F e K 8 a g X C u Y u 7 2 6 p / C 2 d w 6 X z u F Q u l 8 r n 6 s T p k g J M 6 o W C u c t 6 X c F a G C 6 R g r s q x 8 t o P C + j c b 1 M J 7 6 X F N 1 S L x T M X d b 5 C t a k c I k U 3 F X 5 X 9 U L 6 7 i r c c B M J x 6 Y F F d T L x T M X d Y F C 9 a G c I k U 3 F V 5 Y U b j h h m N H 2 Y 6 c c S k i J 5 6 o W D u s p 5 Y s E a D S 6 T g r s o Z M x p v z G j c M d O J P y b F E t U L B X O X d c i C t R J c I g V 3 V T 6 Z 0 T h l R u O V m U 7 c M i m K q V 4 o m L u s X x a s W e A S K b i r c s 2 M x j c z G u f M d O K d S f F T 9 U L B 3 G X d s 2 D t A J d I w V 2 V h 2 Y 0 L p r R + G i m E y d N i t y q F w r m L u u l B X P 4 u 0 Q K 7 q o c N a P x 1 I z G V T O d + G p S z F i 9 U P B H B t Z X C + b S d 4 k U 3 x l U v h p o f D X Q + G r Q i a 8 m R a v V C w V z l / X V g j n t X S I F d 1 W + G m h 8 N d D 4 a t C J r y b F y d U L B X O X / 0 K m + k S m + 0 a m + 0 i m + k q m + k z W i a 8 m R e j V C w V z l / X V g j n e X S I F d 1 W + G m h 8 N d D 4 a t C J r y b F B t Y L B X O X 9 d W C u d Z d I g V 3 V b 4 a a H w 1 0 P h q 0 I m v J k U l 1 g s F c 5 f 1 1 Y I 5 z 1 0 i B X d V v h p o f D X Q + G r Q i a 8 m x U P W C w V z l / X V g r n H X S I F d 1 W + G m h 8 N d D 4 a t C J r y Z F Y t Y L B X O X 9 d W C O c B d I g V 3 V b 4 a a H w 1 0 P h q 0 I m v J s W A 1 g s F c 5 f 1 1 Y K 5 u F 0 i B X d V v h p o f D X Q + G r Q i a 8 m R Z / W C w V z l / X V g j m x X S I F d 1 W + G m h 8 N d D 4 a t C J r y b F v d Y L B U c u s b 5 a M D e 1 S 6 Q I X l L 5 a r H G V 4 s 1 v l q s 8 9 X E Q M S o p R 9 R e m n X m x S i W 5 6 K e W o d K O L t i X M F 6 C p G V w m 6 S t F V h q 7 6 6 G q A r o b o q s x T 6 3 4 H L D L P u l + u 8 M + 4 Q 1 W e W h f N x j / j T h n c K 4 O 7 Z X C / A P c L C J d w t w B 3 C z C j A P c K c K 8 A 9 w p w r w D 3 i u a p L T R + l 6 Z W 1 q i m U b 9 V t p a r + e w + e j O f f B o t l / k s / 0 u l / h w q V S x R 9 S r V 9 D B Z l c D 0 a t 1 m e f r i L 2 X 6 Z 1 W m F 1 c a Z W p 6 a q 9 K X 3 u + S 0 P 9 1 9 L 0 J 9 E m J y k 7 l 2 Q M p U L H i a F D y l c m i L 7 Y p R m / 2 W T d n u U z J s 8 4 k 1 h s d 3 d 5 + 3 7 8 s I r y I o / 5 P H + X z + 6 2 v 1 3 m X m 5 o J n 0 X S w w s c c w T x y x x w h M n L H H K E 6 c s c c Y T Z y x x n y f u s 8 Q D n n j A E g 9 5 4 i E v s J 4 g l R 5 P b g R y X o p G E K P h 5 W g E Q R p e k k Y Q p e F l a Q R h G l 6 a R h C n 4 e V p B I E a X q J G E K n h Z W o E o R p e q i B I F X i p g i B V E O a m N D l 5 q Y I g V e C l C o J U g Z c q C F I F X q o g S B V 4 q Y I g V e C l C o J U g Z c q C F I F X q q x I N U Y 5 5 h w L 1 D W A n S 8 H 5 2 D R w f G 0 c l q d A Q Z n d X F y T t w F 3 D i K 5 w i C i d T w m m H c I I e n M o G J 3 3 B 6 V H w A V t 8 F B X z A 6 d x w A k P c G o A f I g e H z f H B 7 P x E W b U F 3 r i j 3 6 B I / A P v i S g P E G R C e x J c D o C L N E I Y 9 o t G s V J 4 w 5 p p B y N 7 a L R S D R + h k Z 8 0 H h y + l W d f g e m f K P f 2 u j X I f o 9 g y L w F D O m K C e N o S D 9 q 8 R a m l H T 0 c h a O X d 2 l k b H u 4 o d z 1 9 c P i s o L s f L 2 8 l o P M 0 X 5 d X c W k / 5 o p i 0 1 v Q q T K n 3 8 / m 7 u 4 f 5 4 n F Z 3 p / f R 7 m 1 l 6 D A s 4 p 7 0 z w v q 4 V 8 X 8 z y k v b W m n m j 2 Z 2 1 z c o G t 8 v A t K y p 4 t Q w Q b 9 + 3 J R m Q T e 3 h p 3 0 0 H R b P 0 U i K L u 4 3 J R J K R e m N y 9 f X j + L H N S t v H X 1 L N p 6 u t H q r N g Q o w + j 0 c L 5 e W N q l g 3 u n y t K 3 e x r 6 5 R P G v T k u f D k u d + J 8 3 A n z u v e d e 0 3 e R 1 u 8 j r Y 5 I 6 J W 1 H v p D y e W W a v b 1 f 5 2 u r T X j 2 e 7 Q j u x o v x f T 5 b 8 b + u R t O b u d W / 6 W i 8 W u Q 8 T V F j q F A + 9 9 3 / Y 7 k 4 f 4 z s M 0 W V n N F k G R 1 v f y 4 f f D N f V A + u P u V 7 d V s 8 W G J M W D S 0 H q 8 e 5 t P K Y b j L / 4 1 Q f L d 7 2 I i / A P n l Z T k d b v L l a j R a F e 1 H p 6 e n U T E T Z / m 0 q G C D y X 1 O + j 9 v + c j 8 R J m I K I 6 / O 9 + r 7 G 6 S 2 B 5 g 7 8 i h Z R y k 8 r 4 / 1 S L u 1 5 H l + n y 7 8 E T H d k 2 w f 9 l u P e T r 3 + 1 7 p / P 7 E g P f i G l X h a V c 4 d w i J 9 X R K K Z L E O w S k H a 9 A j S b N P t + u 3 G w X Z z D 3 l S R 7 q j d W G g 3 C b a b k H a 9 6 j G b 7 P h + u 2 m w 3 Z S 0 O / D a H Q r t Z s F 2 p d 7 0 g 0 + R m j v V 9 3 u 3 N 2 k q t D s I t j s Q n h o G n 5 J G b n p h b Z c 0 x 9 T M E i M 9 F 1 Z l 9 2 f O 7 x S f k z T R h F X R / Z n z R M X n J N m Z s C o Z S Z d M W J m M t D K Y s L I Y S V t M W F 2 M p C 8 Q 1 h e Q 9 A X C + g K S v k D N 0 i f p C 4 T 1 B S R 9 g b C + g K Q v E N Y X k P Q F w v o C k r 5 A W F 9 A 3 E n C + g K S v k B Y X 0 D S l z i s L z E u 0 g V + s a o N B 1 5 9 Y x s Y V V t 6 W a N v Y 1 B G E 6 d 4 H 4 N + l s / d b V + 8 f 5 L U u w O v W B R s q k W J D d D C X V 5 N r E 3 V J b E B U q b L K z s D C a m 6 5 W 2 U k G T h V 9 A G v D 4 m A 0 L h V U l L i Y S 8 i i 6 Q 1 j C q 8 t L 3 Y t p d b s o z F t f b e o y l J b m t 1 E i e q 9 q M Z t a b i e Z r a 2 B F 1 s n a 2 v S n p c 2 O M j S V d 8 a F H W 5 J C 6 d t p 3 Z V v + 7 z D + t F Y a p F R Q X K + a I w q 1 e l E 7 W 0 4 7 D U i 6 V X k X P L h p T y K c N s y i i X M g d 4 8 2 H 3 X z O s D B k 1 F r I 0 / D i u u p N R O W e D 8 O O 4 d k 2 / R x 7 v B 7 8 Z / N r H U 6 F P F b m f h B / H d l u f m s X 9 f v h x r M J 9 K p l B L / j 4 A C 8 E A 2 r k D u L w 4 3 i K D e g U H W T h x 7 G V O K A m 6 2 A Y f H y I t W 5 I t W 4 Y 1 r o h 1 r o h 1 b p h W O u G W O u G V O u G Y a 0 b k p q P P a p 2 p h f W O 9 M j n k / P K 2 z Z C 6 u e 6 R G f o e f 5 Z L 2 w 9 p k e K Y X Z 8 7 w v E 1 Z A Q 6 p K G u P 5 W S a s g 4 a U Z z R + P U 4 T V k N D 6 h w a 4 / l O J q y J B k i 5 T a 8 4 p o G w M h p S M 8 2 A 5 z F B W B 8 N K T 5 m v D q V B s I q a U g V L x N 7 O h n X 6 G R M v X F P J + M a n Y x r R h n X j C G p 6 W F S 8 / 6 E e q 4 e D 1 K i s a m n s S m R Z e r N q 5 S + x Z s 3 Z E s 1 m f c W s m u a z K 9 D y 5 n X W r j G d o q z l v W P Z 4 e A R f Z x z h d p 8 D j h c O b N 6 Y w z 6 v U v 6 B M B 9 b 0 p 3 + e 8 t w Y v I P L t e y t C n 3 O 7 G r y A L B h 9 b 8 H o H 6 Y B f b K e D L y 5 N D h M R w Z k u R l 4 y 8 3 g M C 0 a k B 1 y 4 M 3 k A e e K N n g B 2 U A H 3 k I w 5 H x I / Q u G Z L U a e u v I k A M L G r y A b L 9 D b x k a H r Y M D c l M H n o z e X j Q T I Y e c f J 6 n p P X O 2 g m Q 4 8 4 u z 0 6 k 6 F 3 0 E y G X k Z e 4 L m 6 v Y N m M v T w T A Z D Z z K w k K j + B b Q S u F e l H V g s s 8 E L S M V t Q 2 c y s C B k g x c Q M M E v u c 6 i h / o X k N q / A H Q m A w v 7 N X j B Y R w m l W o B 6 D w F F k b T v 4 B F 0 x o 8 T m Z h 7 M 3 C + L B Z G B + 0 z k F M 5 l j i z b H k s D m W k D n m 1 R K G l E B m X m l g S M l K 4 1 X 6 h Z T M A 8 + 0 B W L a g g c X Q U Z 6 m n k 9 z U h P P e M X C C o E H i w E G e l p 5 v W U 2 H j g 2 X h g b b x t 5 d 3 v R 2 W A q x X H w z b a 9 T 7 / N P 7 w + / j + L h q 4 w a 6 F 3 P b B r n x s 7 E n 0 x x 9 H 3 + f 5 d B W t S 2 C x / O h d h E n c j 1 b j K u z i c n t 1 9 L m I i n 1 j x T 4 b 3 4 9 n 9 8 v Z e r q J 6 b A 3 T 2 e L 0 6 P P 2 2 7 + X J 5 K i s b L 4 n 0 f i w i R m d u 3 x 8 n o N n 8 z m q z z 4 9 o h 2 e a v R s W / / 7 D / b B 5 d b N t 4 n f 9 j V f R q 3 8 m T 7 R f 0 C o H c o o 0 F 1 F j 4 Y H f 5 u / H k / / 6 3 G h g G U m f F m J x I D g d L X z w U N 1 d L K 5 H l U W C M 0 V A c J c c R + x L L / O J / / 2 + H V j + 2 U l 2 i 5 e N k v C q + A M w f I / t 4 P r 4 r 2 l n l D 6 4 0 r w u i X Y A + z x T b p Z / z y Q O B h w v 1 K p + 2 r 6 6 a K c Z 8 8 Z s d 8 X g 6 t j e P j 0 6 O n h U 8 + G 7 0 4 X Q X e h I V m H L x / 5 v x h 3 L w J W M K i q s S v f Z + D g n M i A K r Z 8 E J O l w X 1 M + a A Y R 6 C E 1 U q v r m U j H C M q + 2 S z U c C 0 1 N e a 3 h R 1 G u N Z v o q E 3 g S B W S N c 4 r E V b h L c s t R z + r l r x Y 7 k a w 8 7 v e X D G 9 i Z z v V 7 v o p u 2 9 c h W s e R K Y J 2 H / 5 H n N O 5 2 Q K e + t g W e B f X b / 3 n O J 8 + e 3 i / m N X W K s g j v 8 3 z 7 F j Z M + 9 W F N n + L 6 S Z 8 a 7 Y / r b J 5 7 Y R + 7 s L p o p 9 f d 9 l v k / P G + O J l R 7 l 1 u S z 8 8 0 r v R e H Y X 3 o S w v u i 3 o V i 7 D W 2 W 1 X 3 E W X B u J 4 3 m d q z d M O R O B A e Z N J v S y W Y S X Y R E 5 p y c c W X m 3 t Z N 9 L T d R N / 2 c q O L 9 4 t 5 / p j P T q J V P p o u T + y 2 u c y n t s 1 q A 1 3 P / 7 X U r G / q q T 5 / p o e O l k U v N i e I 9 n 3 9 a j 6 9 G c + 0 n S 3 s y z + O d g G 2 1 W q A 4 6 R x m D S O k s Z B 0 j h G G o d I 4 w h p H C B N 4 q P d 8 G g 7 S z c D W m x H x m z Z J 9 F / r e e r / H r 1 m 2 X A 9 / N Z / m z f T B G A G + K c u y F 7 v O N 5 X b D s O r + 1 F t L e R T H V 5 o x v A n c z 5 m 4 m 3 M 2 U u 5 l x N / v c z Q F 3 c 8 j d r P j u 3 T 2 I / V V r y z D v o S n v S w X 9 Y x f n v 7 w d r f L 7 + Y J I I v g 7 O o r A E c R 1 B E k d Q V p H k N U R 9 O s I B n U E w z o C f H a E p T h I A f y W j z T L b q Z w K Y k O V b t C i R / I + 8 I + Z r h E G 8 4 D v + v 2 h 3 7 L / S H b 9 L e M r Z H 7 K w V E u b 1 3 a S q D 5 r v y W M Q 6 2 h y J q P o w m s 3 t 1 v I w s o O b P V i 3 Y v 4 u u l l P r J B v 1 g + V I V x Q R P n q 9 r R q 5 W U Z R p 4 v o s d y F 7 Z / z s 7 s Q w / z v P R M p p V F 8 C P 3 Y 9 g Y 6 r c z h v o 6 Y 8 g Z h t y 9 Q O 8 G j Y y j v s 4 4 a t K p N / P J f R G z p H C A C r J F 2 F w a l E u l G z m 1 R U 1 O t k c S d t A K x l 0 6 9 P s P c 6 R 9 J 4 1 z k D j X h 3 d q e H d F c k g k l 0 N 2 K g J O w v a h 0 1 3 7 x f 3 x R / e X 7 R v 8 X / b v c H 7 j 7 G 6 d M V m 3 A g q G M 8 E f / O Q s b n I N n B t B B I B O o q 2 p 7 C x y l q 3 r F f f z J r y Q + / 3 9 J t y Q + + 1 h G 3 6 I f m S X U X v / 9 X w 1 s r c 3 S 3 I Z / l g e d y l R J T v R i t n p h q 1 G x + U 5 o 7 Q M W n x G F l R x 0 p c v s h p i R 2 U n z d n 8 0 b 7 i Y b y F 6 V 7 M f r c K Z C + f v 7 j c X 5 f h t y U 3 7 Z 4 a / f R o r / O 7 / X T e n D D C 6 s C c M S L H k 0 K n j A g p e 8 6 I 0 K C T R u J v 4 P 1 W f 9 q I P P C z X Q T L Q N D t b r c 9 F l i M Z Z r f W o 0 o J u h 2 S P / p O B e T r T Z X R i p v r q j M g K F s B t Q t 5 5 U d U D M P V Y b K t 1 b q 5 Q t W v z 2 W u 8 C + f 4 5 7 8 9 r O x u U 7 K + y q i 6 8 t b a 2 1 M t x 4 s / I y 9 G K 2 y p L T o r G N 7 U D W a / I 7 s 3 q H K c C n Y F f 2 O h q u H X 7 V D 1 A 5 e 0 C A C u 0 I h E 7 e H 7 g G u d 2 C p / P 3 D k K n 2 h Z o 2 0 H d F E a G d w x C d C 0 r h r e b C H o R k r U 4 B G F z C R A z W w 1 P z W 0 8 P C W 7 D R F S Y V M i V I E t i l C q N i x 2 D u t X Y u f x 7 Y r 0 T b 4 s z o s U a 2 2 0 G H 9 A 3 2 / s D 8 c 1 a 1 a 5 6 O A 9 7 4 f C 4 j 2 9 z J e 3 1 c Z o X / X F F + O Z f R v / v n / / 2 x d / + 2 L 5 f m T 3 v e j l 5 b l 9 / S R f l d Q X C 7 s 5 f x l 9 t f x 4 e j m / X U + L 4 6 h f j 0 s M Y l Y a J s d H Z z 8 t 7 T j P V h / y m 5 v c n L 0 a 3 y x G i 9 / O v p r M 1 3 f X q / l i d J + f / T D L L x f j j / n z r + 3 O W l S V z i 2 f v 8 k L x 2 q Z X 2 8 l f D + 2 N + x U 2 N 4 o + n a 9 O v 1 2 f Z M v V u v l 2 T f 2 x 4 U V z P P o x W v 7 + k / j h w e 7 L F i D 4 M X M a o k l / 1 j a B G f Q g + z s d v m x E o t d O 2 Z n W 9 O + + P P y v C A 4 t Q T F B 6 x f d u 5 5 k b O o c N A 3 u 5 K 9 z H r J S f T 3 2 e 2 8 Y G J x n f Z 6 5 m 0 p t m o r G R U D s P v n q v A P r K D L 8 x k f 8 9 F 6 L 8 I f F / O p d f g 3 t M c F Q + 1 L N 3 f P J 5 P r 2 9 H E 2 u 9 f r h b r / G 3 t H l W 7 Q 4 X 6 V G q K d 0 i k f E d h H T k w v 3 c g u J Y I N E S x h i j R E K U a o k x D 1 N c Q D T R E Q x U z e y o q F c + N i u l G x X W j Y r t R 8 d 2 o G G 9 U n D c q 1 h s V 7 4 H h P Z c e r I a E 4 T q X 7 q u G h O E 3 l 9 q r h o T h N J f G q 4 a E 4 T G X s q u O d R r 2 K v j L q T W b h 6 u O R s F i T q H Z N F t 1 N A o u c 6 r M Z t G q 0 z 8 F n 0 G j x w o + g 4 L P o O A z K P g M C j 6 D g s + g 4 D M o + B x L S / U O n y k i w D i H i i N j f C q O L N a R J T q y T E e W 6 s j 6 O r K B j m y o I y t X F Q 2 d U g 5 G K Q i j l I R R i s I o m W y U M j N K a R i l O I x S H s D J g 0 2 Z W U v E S Y J N k V l L x M m A T Y l Z S 8 R x n 0 2 B W U v E 8 Z 1 N e V n P T B 3 L V T x n 1 Z 9 P Z 1 l P p W I 7 q / h 8 z s p 6 K h X n W Z X n E 1 P W 6 6 i K 9 6 D T d x X v Q c V 7 U P E e V L w H F e 9 B x X t Q 8 R 5 U v I / F p b / W 1 m G o V M 4 S Z + 8 w V C p n i b N 5 G C q V s 8 T Z P Q y V y l n i b B / G V 9 d Z P 6 z m c 3 T K b Z f V f o 5 O u e 2 y M 4 C j U 2 6 7 7 C z g 6 J T b L j s T O L u Q m Q s Y 9 N v J a j W e V r + T L 1 + Y 4 H N d m n c + y X s A m j q J j i Z O h t d d k Z h / E c z m s j h L V X X l + / X 0 p o g H m K 9 n d 5 f z T 7 P j y 3 W B E s 5 n p 5 e j 3 5 b H v 2 D Q 6 u 3 z X Z v E d 3 / 7 7 C z O 0 m d V + Z a e r j B O w 2 T 2 x T D f o G y p u 4 H u R l / W u T G D T U U Z 2 1 G 3 0 I 1 D J Z b M c W i K 2 j R m 3 9 K 2 G E 7 x 9 1 V t c Z p 2 t W l c S U K 9 J M G R 5 B f d S B J a S V I Y b Y A 7 S J b A y R J U s g y V + 3 R o D p J l u 4 q a x h V m X C / M u H t h x q 2 E 2 b Q I D m B h x p w w Y 5 U w Q 9 V F H Z o 6 Y Q b 6 2 q 5 8 J 7 i i T O p F m X Q v y q S V K J s W n 4 m x K B N O l I l K l K F S p g 7 N A a J s V y s 0 d k W Z 1 o s y 7 V 6 U a S t R N i 3 9 k m B R p p w o U 5 U o Q 3 V T H Z o D R N m u M G n i i j K r F 2 X W v S i z V q I U h h t g D x J l x o k y U 4 k y V K T V o T l A l C 2 r o L q i 7 N e L s t + 9 K P u t R C k M N 8 A e J M o + J 8 q + S p S h i r A O z Q G i b F d y N X N F O a g X 5 a B 7 U Q 5 a i V I Y b o A 9 S J Q D T p Q D l S h D 5 W c d m g N E 2 a 6 + a 9 8 V 5 b B e l M P u R T l s J U p h u A H 2 I F E O O V E O V a I M 1 b p 1 a A 4 Q Z b t i s g O E E f T q Z W l p O h d m 0 W Y L a Q o j D n A I A w U 9 T p y m p 4 M K Q u V 1 X a I D J G o 7 2 E a k Q y R S D e 5 j n k C k 7 Z A f a c g h H m G h 8 v C P E v 9 R A U A K B C j U 4 X Y A U D X O X R 8 U G J B 5 A h D I t E S B G s N A B A c y L B B k d E i Q 0 U B B R o E F h T r c E g p C W J B R g E H m C d A g 0 w 4 O k s Y c Y h K W K o s I G R 0 k Z D S Y k D k M F D L t U C G D Y C G j w I X M E w B D p h 0 y J I 0 5 x C Q s V R Y c M j p 0 y G j g I X M Y P m T a A U Q G I U R G A R G Z J 8 C I T D u Q S B p z i E l Y q i x O Z H R A k d E g R e Y w q M i 0 w 4 o M A o u M A i 0 y T w A X m X Z 4 k T T m E J O w V F n I y O g w I 6 M B j c x h q J F p B x s Z h B s Z B X B k n g A 5 M u 2 g I 2 n M I S Z h q b L o k d H B R 0 a D H 5 n D A C T T D k E y C E I y C g z J P A G I Z N q h S N K Y Q 0 z C U m W B J K N D k o w G S j K H Y U m m H Z h k E J p k F H C S e Q I 8 y b Q D l K Q x h 5 i E p c p i S k Y H K h k N q m Q O g 5 V M O 1 z J I G A J F M A S P A G w B O 2 A J W n M I S b h u A U W W g I d t A Q a a A k O g 5 a g H b R k E L Y E C m w J n g B b g n b Y k j T m E J O w V F l s C X T Y E m i w J T g M W 4 J 2 2 B I g b A k 0 8 U V P E W D U D l u S x h x i E p Y q H 2 S k j D J S h R k d h i 1 B O 2 w J E L Y E C m w J n g B b g p a h R o 1 j j Q i 2 B C y 2 B D p s C T T Y E h y G L U H L i C O E L Y E C W 4 I n w J a g H b Y k j T n E J C x V F l s C H b Y E G m w J D s O W o B 2 2 B A h b A g W 2 B E + A L U E 7 b E k a c 4 h J W K o s t g Q 6 b A k 0 2 B I c h i 1 B O 2 w J E L Y E C m w J n g B b g n b Y k j T m E J O w V F l s C X T Y E m i w J T g M W 4 J 2 2 B I g b A k U 2 B I 8 A b Y E 7 b A l a c w h J m G p s t g S 6 L A l 0 G B L c B i 2 B O 2 w J U D Y E i i w J X g C b A n a Y U v S m E N M w l J l s S X Q Y U u g w Z b g M G w J 2 m F L g L A l U G B L 8 A T Y E r T D l q Q x h 5 i E p c p i S 6 D D l k C D L c F h 2 B K 0 w 5 Y A Y U u x A l u K n w B b i t t h S 9 K Y Q 0 z C x y h Y b C n W Y U u x B l u K D 8 O W 4 n b Y 0 m a c R b 8 3 4 3 s 1 X q 5 O v 7 J S W h 2 X f 1 7 n k / x 2 d f z H L w 5 8 + v b E u Q J 0 F a O r B F 2 l 6 C p D V 3 1 0 N U B X Q 3 R l e v j S 9 i Z y r 3 F / D O 6 Q S Q g 1 7 p P B n T K 4 V w Z 3 y + B + Q Q 8 3 D Y R N u F + A + w W Y U 4 C 7 B b h b g L s F u F u A u 2 X 1 6 v N G t L 8 W m b 1 K W T 9 7 V q N N T f G d q i J Z q a d / 6 d H h e v R P o U Z X 9 W r U F F C q q i q X S 9 9 f a v Q n U a P z S o 1 q s + a i K l g 4 a 2 5 I A c t k f 5 s N T k q Q q s v e D 3 I H a j q + 7 c O V 0 w e a f L U 8 q b 7 R f D l 3 r l / S Z V 8 r z + 3 e d P 5 R 2 7 2 S R R t b y 6 / a N K 7 y Q z 8 u 5 u / G + a T s 2 + Q + n + b 5 r M y N / K a k / J T f L V e L M u W 7 c 7 d I o z s Z L Z f b P M q 7 u 6 N 9 3 l v x h + g u X 4 3 G k y U m W L 6 f f y r v V E m h I / p i / z Z q 5 2 K T Z t Z 7 b v e D S / 3 d N n G t / x r u F / K s k 7 G c P n 6 9 y X Z f X r z a Z 5 n d X 2 8 S y Z Y 3 X m 4 z w J Z X 3 2 4 y x 9 J n q y y t 5 d 2 / P 5 / a f o z u F l U 2 a M g j c u f F j 9 v 0 1 / n i K K B Q e M p h l e L 0 b 6 9 H b / Y K 5 M q 0 V O L x 3 T q v N G l b T r L S + G 0 p y e J K y L 4 p 5 h 1 z i i L j x n 4 F o T m Q m s M F N 2 m 5 z U R o L p a a w 6 V W a W 3 O T G g u k Z r D x T 5 p I c + B 0 F w q N Y d L A X s V t 3 t C e 5 n U H q m j 7 h W C l 6 T R l x o k F a + 9 q u a S P A Z S g 6 T K u F e i W 5 L I U G q Q V H b 3 K s d L M n G Z S x Q a 1 1 r 1 y y d L Y j H y H C E V k 7 1 Z I g n G i P O E 1 q n 2 C t N K o j H i X D G k L r F f y V Z q U p w v h l T H 9 U r f i u I R 5 w y t n 0 3 F E 4 v i E a e N w f M m p u K J R f G I E 8 f g m R N T 8 c S i e M S p Q + p 6 x 1 Q 8 s S g e c f I Y P H t i K p 5 Y E g + I s 8 e L H 8 F x F v T k E j 6 3 R Q + r 4 Y N 6 N I o M x 9 D R y E E c N 0 m j R X G s L I 0 Q x v H R N C o c x 8 T T k w D 4 H A Q 9 / Y H P v t A T P / i 8 E + E V Y h X h F G I U 4 R N i E + E S Y h L h E W I R 4 R B i E O E P Y g / 9 l o 2 U g Y w e D R 4 r J p 3 k i T T J Q V y D S d X 6 h E 7 y R D R V Z F s F r 8 G J Z 6 1 I k x z E N R j w G p z Q S Z 5 I k x z E N R j w G p z Q S Z 6 I k 1 x c g w G v w Q k V T y q K R 1 y D A a / B K R V P K o p H X I M B r 8 F e l f l U F I + 4 B g N e g 7 2 y 9 K k o H n E N B r w G e 3 X s U 0 k 8 s b g G x 3 j N p b F f O E a K x h D h K U r n L 4 7 Z o D E N + N s / / T a O v y H T b 6 z 4 W y T 9 V o e / a d F v P j j u l s a l o o U z J q u q v a 5 N Q R c L I T y 8 z 3 a y r 0 x E Y 0 W Z / L T t s 8 9 F z 7 d t a r L P y Y N r G s k S o 2 q b N H C S y a 7 b + R C F o E m 5 x 0 3 D O m J U L 5 R G E T K 5 g d 9 + 2 e k A d / G D y v E 1 D X C I U b l T G k / H p D X u e H x J w / E 1 / d Q f o 2 q t N L K M y c j c 8 f j S h u N r + t E 7 R s V m a Y w V k 0 y 6 4 / F l D c f X 9 P N v j G r l 0 m g j J g 9 2 x + P r N x t f 0 j T I P k a l f m n c D Z P C u + P x C R E 3 8 g C b f o 9 M U K V i G o L C p B / v e I B C 8 I n c 3 6 Z f y h K 8 z 9 N w D C 5 3 e s d D l P L H y F 1 u G o i c o L r b X l I V L v N 7 1 2 N s a s w k j R M D I m P G S z H C 5 a 3 v e o x N r Z m k q T W T I G v G S 7 j B Z d 3 v e o z C g Q i 5 y 0 0 t m g R Z N F 7 6 C a 5 m Q N d j F I 4 H y F 1 u a t U k y K r x k j F w F Q + 6 H q M Q L C 9 3 u a l l k y D L x k t N w N V r 6 H q M Q u i 4 3 O W m 1 k 2 C r B v v o D 5 X b a L r M Q q B 1 H L S z a Y W T o I s H O / Y O l c r o + s x N j V y 0 q Z G T o q M H O 8 Q N 1 f p o + s x N r V z 0 q Z 2 T o r s H O 9 I M 1 e n p O M x S s e Z 5 S 4 3 t X N S Z O d 4 B 3 y 5 K i t d j 7 G p n Z M 2 t X N S D N r U o z a d 2 z n S U V e 5 y 4 0 z A y M 7 x z v 8 y V W 4 6 X q M T e 2 c t K m d k y I 7 x z s K y d X n 6 X q M T e 2 c t K m d k y I 7 x z s Y y F U X 6 n q M T e 2 c t K m d k y I 7 x z s m x 9 V G 6 n q M T e 2 c t K m d k y I 7 x z s 0 x l V 2 6 n q M T e 2 c r K m d k y I 7 x z t C x d W l 6 n q M T e 2 c r K m d k y E 7 x z t Q x F X V 6 n q M T e 2 c r K m d k y E 7 x z t e w 9 U E 6 x r z b 3 e 0 R j p 4 E m K N H e k F + u y + G + r O m A 2 c m H F o / u N L a w x t q C 5 e X P N E x a m a e E d 0 z h N Z m m R H c y X S p H U 0 x c u 2 / f 7 6 h 5 9 e b 4 / w X F z 9 f K R k a L t 8 I t V 3 x Q s U 6 e C x N Z Q 4 w 6 G p Z y t o 2 A o K t o K C r d A J W 9 s l 9 K h i s S 5 Q c I n H 1 l D m C o e m n q 2 x h q 0 b o j B f Y w V f 4 0 7 4 2 i 6 l R k x W g Y T j a y h 3 h E N T z 9 d E w 9 d E o a 6 J g q 1 J J 2 x t W V A n x m x N O b a G k j c 4 N P V s T T V s T R V s T R V s T T t h a 7 u k E t X 3 + A s U t u a x N Z Q 9 w a G p Z 2 u m Y W u m Y G u m Y G v W C V v b Z X W o w g A u U K S g x 9 Z Q + g K H p p 6 t f Q 1 b + w q 2 9 h V s 7 X f C 1 n Z p F a r o g w s U n O m x N Z Q / w K G p Z + t A w 9 a B g q 0 D B V s H n b C 1 X V 6 D K u j h A s X D e m w N H e B 3 a O r Z O t S w d a h g 6 1 D B 1 m E n b G 2 X W K C K t b j A Q c i + Q x A 6 Q + 8 S K V y C n s o n 6 G m c g p 7 G K + h 1 w V 0 p x q N e K J i 7 v L u l 8 r d 0 D p f O 4 1 K 5 X C q f q x O n S w o w q R c K 5 i 7 r d Q V r Y b h E C u 6 q H C + j 8 b y M x v U y n f h e U n R L v V A w d 1 n n K 1 i T w i V S c F f l f 1 U v r O O u x g E z n X h g U l x N v V A w d 1 k X L F g b w i V S c F f l h R m N G 2 Y 0 f p j p x B G T I n r q h Y K 5 y 3 p i w R o N L p G C u y p n z G i 8 M a N x x 0 w n / p g U S 1 Q v F M x d 1 i E L 1 k p w i R T c V f l k R u O U G Y 1 X Z j p x y 6 Q o p n q h Y O 6 y f l m w Z o F L p O C u y j U z G t / M a J w z 0 4 l 3 J s V P 1 Q s F c 5 d 1 z 4 K 1 A 1 w i B X d V H p r R u G h G 4 6 O Z T p w 0 K X K r X i i Y u 6 y X F s z h 7 x I p u K t y 1 I z G U z M a V 8 1 0 4 q t J M W P 1 Q s E f G V h f L Z h L 3 y V S f G d Q + W q g 8 d V A 4 6 t B J 7 6 a F K 1 W L x T M X d Z X C + a 0 d 4 k U 3 F X 5 a q D x 1 U D j q 0 E n v p o U J 1 c v F M x d / g u Z 6 h O Z 7 h u Z 7 i O Z 6 i u Z 6 j N Z J 7 6 a F K F X L x T M X d Z X C + Z 4 d 4 k U 3 F X 5 a q D x 1 U D j q 0 E n v p o U G 1 g v F M x d 1 l c L 5 l p 3 i R T c V f l q o P H V Q O O r Q S e + m h S V W C 8 U z F 3 W V w v m P H e J F N x V + W q g 8 d V A 4 6 t B J 7 6 a F A 9 Z L x T M X d Z X C + Y e d 4 k U 3 F X 5 a q D x 1 U D j q 0 E n v p o U i V k v F M x d 1 l c L 5 g B 3 i R T c V f l q o P H V Q O O r Q S e + m h Q D W i 8 U z F 3 W V w v m 4 n a J F N x V + W q g 8 d V A 4 6 t B J 7 6 a F H 1 a L x T M X d Z X C + b E d o k U 3 F X 5 a q D x 1 U D j q 0 E n v p o U 9 1 o v F B y 5 x P p q w d z U L p E i e E n l q 8 U a X y 3 W + G q x z l c T A x G j l n 5 E 6 a V d b 1 K I b n k q 5 q l 1 o I i 3 J 8 4 V o K s Y X S X o K k V X G b r q o 6 s B u h q i q z J P r f s d s M g 8 6 3 6 5 w j / j D l V 5 a l 0 0 G / + M O 2 V w r w z u l s H 9 A t w v I F z C 3 Q L c L c C M A t w r w L 0 C 3 C v A v Q L c K 5 q n t t D 4 X Z p a W a O a R v 1 W 2 V q u 5 r P 7 6 M 1 8 8 m m 0 X O a z / C + V + n O o V L F E 1 a t U 0 8 N k V Q L T q 3 W b 5 e m L v 5 T p n 1 W Z X l x p l K n p q b 0 q f e 3 5 L g 3 1 X 0 v T n 0 S b n K T s X J I x l A o d J 4 Y O K V + Z I P p i l 2 b 8 Z p N 1 e 5 b P m D z j T G K x 3 d 3 l 7 f v x w y r K i z z m 8 / x d P r v b / n a Z e 7 m h m f R d L D G w x D F P H L P E C U + c s M Q p T 5 y y x B l P n L H E f Z 6 4 z x I P e O I B S z z k i Y e 8 w H q C V H o 8 u R H I e S k a Q Y y G l 6 M R B G l 4 S R p B l I a X p R G E a X h p G k G c h p e n E Q R q e I k a Q a S G l 6 k R h G p 4 q Y I g V e C l C o J U Q Z i b 0 u T k p Q q C V I G X K g h S B V 6 q I E g V e K m C I F X g p Q q C V I G X K g h S B V 6 q I E g V e K n G g l R j n G P C v U B Z C 9 D x f n Q O H h 0 Y R y e r 0 R F k d F Y X J + / A X c C J r 3 C K K J x M C a c d w g l 6 c C o b n P Q F p 0 f B B 2 z x U V T M D 5 z G A S c 8 w K k B 8 C F 6 f N w c H 8 z G R 5 h R X + i J P / o F j s A / + J K A 8 g R F J r A n w e k I s E Q j j G m 3 a B Q n j T u k k X I 0 t o t G I 9 H 4 G R r x Q e P J 6 V d 1 + h 2 Y 8 o 1 + a 6 N f h + j 3 D I r A U 8 y Y o p w 0 h o L 0 r x J r a U Z N R y N r 5 d z Z W R o d 7 y p 2 P H 9 x + a y g u B w v b y e j 8 T R f l F d z a z 3 l i 2 L S W t O r M K X e z + f v 7 h 7 m i 8 d l e X 9 + H + X W X o I C z y r u T f O 8 r B b y f T H L S 9 p b a + a N Z n f W N i s b 3 C 4 D 0 7 K m i l P D B P 3 6 c V O a B d 3 c G n b S Q 9 N t / R S J o O z i c l M m p V y Y 3 r x 8 e f 0 s c l C 3 8 t b V s 2 j r 6 U a r s 2 J D j D 6 M R g v n 5 4 2 p W T a 4 f 6 4 o d b O v r V M + a d C T 5 8 K T 5 3 4 n z s O d O K 9 7 1 7 X f 5 H W 4 y e t g k z s m b k W 9 k / J 4 Z p m 9 v l 3 l a 6 t P e / V 4 t i O 4 G y / G 9 / l s x f + 6 G k 1 v 5 l b / p q P x a p H z N E W N o U L 5 3 H f / j + X i / D G y z x R V c k a T Z X S 8 / b l 8 8 M 1 8 U T 2 4 + p T v 1 W 3 x Y I k x Y d H Q e r x 6 m E 8 r h + E u / z d C 8 d 3 u Y S P + A u S X l + V 0 u M m X q 9 F o V b Q f n Z 6 e R s V M n O X T o o I N J v c 5 6 f + 8 5 S P z E 2 U i o j j + 7 n y v s r t J Y n u A v S O H l n G Q y v v + V I u 4 X 0 e W 6 / P t w h M d 2 z X B / m W 7 9 Z C v f 7 f v n c 7 v S w x 8 I 6 Z d F Z Z y h X O L n F R H o 5 g u Q b B L Q N r 1 C t B s 0 u z 7 7 c b B d n E O e 1 N F u q N 2 Y 6 H d J N h u Q t r 1 q s d s s u P 7 7 a b B d l P S 7 s B r d y i 0 m w X b l X r T D z 5 F a u 5 U 3 + / d 3 q S p 0 O 4 g 2 O 5 A e G o Y f E o a u e m F t V 3 S H F M z S 4 z 0 X F i V 3 Z 8 5 v 1 N 8 T t J E E 1 Z F 9 2 f O E x W f k 2 R n w q p k J F 0 y Y W U y 0 s p g w s p i J G 0 x Y X U x k r 5 A W F 9 A 0 h c I 6 w t I + g I 1 S 5 + k L x D W F 5 D 0 B c L 6 A p K + Q F h f Q N I X C O s L S P o C Y X 0 B c S c J 6 w t I + g J h f Q F J X + K w v s S 4 S B f 4 x a o 2 H H j 1 j W 1 g V G 3 p Z Y 2 + j U E Z T Z z i f Q z 6 W T 5 3 t 3 3 x / k l S 7 w 6 8 Y l G w q R Y l N k A L d 3 k 1 s T Z V l 8 Q G S J k u r + w M J K T q l r d R Q p K F X 0 E b 8 P q Y D A i F V y U t J R L y K r p A W s O o y k v f i 2 l 3 u S n P W F x v 6 z G W l u S 2 U i N 5 r m o z m l l v J p q v r Y E V W S d r a 9 O f l j Y 7 y t B U 3 h k X d r g l L Z y 2 n d p V / b r P P 6 w X h a k W F R U o 5 4 v C r F 6 V T t T S j s N S L 5 Z e R c 4 t G 1 L K p w y z K a N c y h z g z Y f d f 8 2 w M m T U W M j S 8 O O 4 6 k 5 G 5 Z w N w o / j 2 j X 9 H n m 8 H / x m 8 G s f T 4 U + V e R + E n 4 c 2 2 1 9 a h b 3 + + H H s Q r 3 q W Q G v e D j A 7 w Q D K i R O 4 j D j + M p N q B T d J C F H 8 d W 4 o C a r I N h 8 P E h 1 r o h 1 b p h W O u G W O u G V O u G Y a 0 b Y q 0 b U q 0 b h r V u S G o + 9 q j a m V 5 Y 7 0 y P e D 4 9 r 7 B l L 6 x 6 p k d 8 h p 7 n k / X C 2 m d 6 p B R m z / O + T F g B D a k q a Y z n Z 5 m w D h p S n t H 4 9 T h N W A 0 N q X N o j O c 7 m b A m G i D l N r 3 i m A b C y m h I z T Q D n s c E Y X 0 0 p P i Y 8 e p U G g i r p C F V v E z s 6 W R c o 5 M x 9 c Y 9 n Y x r d D K u G W V c M 4 a k p o d J z f s T 6 r l 6 P E i J x q a e x q Z E l q k 3 r 1 L 6 F m / e k C 3 V Z N 5 b y K 5 p M r 8 O L W d e a + E a 2 y n O W t Y / n h 0 C F t n H O V + k w e O E w 5 k 3 p z P O q N e / o E 8 E 1 P e m f J / z 3 h q 8 g M i 3 7 6 0 I f c 7 t a v A C s m D 0 v Q W j f 5 g G 9 M l 6 M v D m 0 u A w H R m Q 5 W b g L T e D w 7 R o Q H b I g T e T B 5 w r 2 u A F Z A M d e A v B k P M h 9 S 8 Y k t V q 6 K 0 j Q w 4 s a P A C s v 0 O v W V o e N g y N C Q z e e j N 5 O F B M x l 6 x M n r e U 5 e 7 6 C Z D D 3 i 7 P b o T I b e Q T M Z e h l 5 g e f q 9 g 6 a y d D D M x k M n c n A Q q L 6 F 9 B K 4 F 6 V d m C x z A Y v I B W 3 D Z 3 J w I K Q D V 5 A w A S / 5 D q L H u p f Q G r / A t C Z D C z s 1 + A F h 3 G Y V K o F o P M U W B h N / w I W T W v w O J m F s T c L 4 8 N m Y X z Q O g c x m W O J N 8 e S w + Z Y Q u a Y V 0 s Y U g K Z e a W B I S U r j V f p F 1 I y D z z T F o h p C x 5 c B B n p a e b 1 N C M 9 9 Y x f I K g Q e L A Q Z K S n m d d T Y u O B Z + O B t f G 2 l X e / H 5 U B r l Y c D 9 t o 1 / v 8 0 / j D 7 + P 7 u 2 j g B r s W c t s H u / K x s S f R H 3 8 c f Z / n 0 1 W 0 L o H F 8 q N 3 E S Z x P 1 q N q 7 C L y + 3 V 0 e c i K v a N F f t s f D + e 3 S 9 n 6 + k m p s P e P J 0 t T o 8 + b 7 v 5 c 3 k q K R o v i / d 9 L C J E Z m 7 f H i e j 2 / z N a L L O j 2 u H Z J u / G h X / / s P + s 3 l 0 s W 3 j d f 6 P V d G r f S d P t l / Q K w R y i z Y W U G P h g 9 3 l 7 8 a T / / v f a m A Y S J 0 V Y 3 I i O R w s f f F Q 3 F w t r U S W R 4 E x R k N x l B x H 7 E s s 8 4 v / / b 8 d W v 3 Y S n W J l o + T 8 a r 4 A j B / j O z j + f i u a G e V P 7 j S v C 6 I d g H 6 P F N s l 3 7 O J w 8 E H i 7 U q 3 z a v r p q p h j z x W 9 2 x O P p 2 N 4 8 P j o 5 e l b w 4 L v R h 9 N d 6 E l U Y M r F / 2 / G H 8 r B l 4 w p K K 5 K 9 N r 7 O S Q w I w q s n g U n 6 H B d U D 9 r B h D q I T R R q e q b S 8 U I y 7 z a L t V w L D Q 1 5 b W G H 0 W 5 1 m y i o z a B I 1 V I 1 j i v R F i F t y y 3 H P 2 s W v J i u R v B z u 9 6 c 8 X 0 J n K + X + 2 i m 7 b 3 y l W w 5 k l g n o T 9 k + c 1 7 3 R C p r y 3 B p 4 F 9 t n 9 e 8 8 l z p / f L u Y 3 d o m x C u 7 w f / s U N 0 7 6 1 I c 1 f Y r r J 3 1 q t D + u s 3 n u h X 3 s w u q i n V 5 3 2 2 + R 8 8 f 7 4 m R G u X e 5 L f 3 w S O 9 G 4 9 l d e B P C + q L f h m L t N r R Z V v c R Z 8 G 5 n T S a 2 7 F 2 w 5 A 7 E R x k 0 m x K J 5 t J d B E S m X N y x p W Z e 1 s 3 0 d N 2 E 3 3 b y 4 0 u 3 i / m + W M + O 4 l W + W i 6 P L H b 5 j K f 2 j a r D X Q 9 / 9 d S s 7 6 p p / r 8 m R 4 6 W h a 9 2 J w g 2 v f 1 q / n 0 Z j z T d r a w L / 8 4 2 g X Y V q s B j p P G Y d I 4 S h o H S e M Y a R w i j S O k c Y A 0 i Y 9 2 w 6 P t L N 0 M a L E d G b N l n 0 T / t Z 6 v 8 u v V b 5 Y B 3 8 9 n + b N 9 M 0 U A b o h z 7 o b s 8 Y 7 n d c G y 6 / z W W k h 7 F 8 V U m z O + C d z N m L u Z c D d T 7 m b G 3 e x z N w f c z S F 3 s + K 7 d / c g 9 l e t L c O 8 h 6 a 8 L x X 0 j 1 2 c / / J 2 t M r v 5 w s i i e D v 6 C g C R x D X E S R 1 B G k d Q V Z H 0 K 8 j G N Q R D O s I 8 N k R l u I g B f B b P t I s u 5 n C p S Q 6 V O 0 K J X 4 g 7 w v 7 m O E S b T g P / K 7 b H / o t 9 4 d s 0 9 8 y t k b u r x Q Q 5 f b e p a k M m u / K Y x H r a H M k o u r D a D a 3 W 8 v D y A 5 u 9 m D d i v m 7 6 G Y 9 s U K + W T 9 U h n B B E e W r 2 9 O q l Z d l G H m + i B 7 L X d j + O T u z D z 3 M 8 9 I z m V Y W w Y / c j 2 F j q N / O G O r r j C F n G H L 3 A r 0 b N D K O + j r j q E m n 3 s w n 9 0 X M k s I B K s g W Y X N p U C 6 V b u T U F j U 5 2 R 5 J 2 E E r G H f p 0 O 8 / z J H 2 n T T O Q e J c H 9 6 p 4 d 0 V y S G R X A 7 Z q Q g 4 C d u H T n f t F / f H H 9 1 f t m / w f 9 m / w / m N s 7 t 1 x m T d C i g Y z g R / 8 J O z u M k 1 c G 4 E E Q A 6 i b a m s r P I W b a u V 9 z P m / B C 7 v f 3 m 3 B D 7 r e H b f g h + p F d R u 3 9 1 / P V y N 7 e L M l l + G N 5 3 K V E l e x E K 2 a n G 7 Y a H Z f n j N I y a P E Z W V D F S V + + y G q I H Z W d N G f z R / u K h / E W p n s x + 9 0 q k L 1 8 / u J y f 1 2 G 3 5 b c t H t q 9 N O j v c 7 v 9 t N 5 c 8 I I q w N z x o g c T w q d M i K k 7 D k j Q o N O G o m / g f d b / W k j 8 s D P d h E s A 0 G 3 u 9 3 2 W G A x l m l + a z W i m K D b I f 2 n 4 1 x M t t p c G a m 8 u a I y A 4 a y G V C 3 n F d 2 Q M 0 8 V B k q 3 1 q p l y 9 Y / f Z Y 7 g L 7 / j n u z W s 7 G 5 f v r L C r L r 6 2 t L X W y n D j z c r L 0 I v Z K k t O i 8 Y 2 t g N Z r 8 n v z O o d p g C f g l 3 Z 6 2 i 4 d v h V P 0 D l 7 A E B K r Q j E D p 5 f + A a 5 H Y L n s 7 f O w i d a l u g b Q d 1 U x g Z 3 j E I 0 b W s G N 5 u I u h F S N b i E I T N J U D M b D U 8 N b f x 8 J T s N k R I h U 2 J U A W 2 K E K p 2 r D Y O a x f i Z 3 H t y v S N / m y O C 9 S r L X R Y v w B f b + x P x z X r F n l o o P 3 v B 8 K i / f 0 M l / e V h u j f d U X X 4 x n 9 m 3 8 + / 7 9 b 1 / 8 7 Y v l + 5 H d 9 6 K X l 6 / s 6 y f 5 q q S + W N j N + c v o q + X H 0 8 v 5 7 X p a H E f 9 e l x i E L P S M D k + O v t p a c d 5 t v q Q 3 9 z k 5 u z V + G Y x W v x 2 9 t V k v r 6 7 X s 0 X o / v 8 7 I d Z f r k Y f 8 y f f 2 1 3 1 q K q d G 7 5 / E 1 e O F b L / H o r 4 f u x v W G n w v Z G 0 b f r 1 e m 3 6 5 t 8 s V o v z 7 6 x P y 6 s Y J 5 H L 1 7 b 1 3 8 a P z z Y Z c E a B C 9 m V k s s + c f S J j i D H m R n t 8 u P l V j s 2 j E 7 2 5 r 2 x Z + X r w q C U 0 t Q f M D 6 Z e e e F z m L C g d 9 s y v Z y 6 y X n E R / n 9 3 O C y Y W 1 2 m v Z 9 6 W Y q u 2 k l E x A L t / r g r / w A q 6 P J / x M R + t 9 y L 8 c T G f W o d / Q 3 t c M N S + d H P 3 f D K 5 v h 1 N r P 3 + 5 W q x z t / W 7 l G 1 O 1 S o T 6 W m e I d E y n c U 1 p E D 8 3 s H g m u J Q E M U a 4 g S D V G q I c o 0 R H 0 N 0 U B D N F Q x s 6 e i U v H c q J h u V F w 3 K r Y b F d + N i v F G x X m j Y r 1 R 8 R 4 Y 3 n P p w W p I G K 5 z 6 b 5 q S B h + c 6 m 9 a k g Y T n N p v G p I G B 5 z K b v q W K d h r 4 K / n F q z e b j q a B Q s 5 h S a T b N V R 6 P g M q f K b B a t O v 1 T 8 B k 0 e q z g M y j 4 D A o + g 4 L P o O A z K P g M C j 6 D g s + x t F T v 8 J k i A o x z q D g y x q f i y G I d W a I j y 3 R k q Y 6 s r y M b 6 M i G O r J y V d H Q K e V g l I I w S k k Y p S i M k s l G K T O j l I Z R i s M o 5 Q G c P N i U m b V E n C T Y F J m 1 R J w M 2 J S Y t U Q c 9 9 k U m L V E H N / Z l J f 1 z N S x X M V z V v 3 5 d J b 1 V C q 2 s 4 r P 5 6 y s p 1 J x n l V 5 P j F l v Y 6 q e A 8 6 f V f x H l S 8 B x X v Q c V 7 U P E e V L w H F e 9 B x f t Y X P p r b R 2 G S u U s c f Y O Q 6 V y l j i b h 6 F S O U u c 3 c N Q q Z w l z v Z h f H W d 9 c N q P k e n 3 H Z Z 7 e f o l N s u O w M 4 O u W 2 y 8 4 C j k 6 5 7 b I z g b M L m b m A Q b + d r F b j a f U 7 + f K F C T 7 X p X n n k 7 w H o K m T 6 G j i Z H j d F Y n 5 F 8 F s L o u z V F V X v l 9 P b 4 p 4 g P l 6 d n c 5 / z Q 7 v l w X K O F 8 d n o 5 + m 1 5 / A s G r d 4 + 3 7 V J f P e 3 z 8 7 i L H 1 W l W / p 6 Q r j N E x m X w z z D c q W u h v o b v R l n R s z 2 F S U s R 1 1 C 9 0 4 V G L J H I e m q E 1 j 9 i 1 t i + E U f 1 / V F q d p V 5 v G l S T U S x I c S X 7 R j S S h l S S F 0 Q a 4 g 2 Q J n C x B J c t Q u U + H 5 i B Z t q u o a V x h x v X C j L s X Z t x K m E 2 L 4 A A W Z s w J M 1 Y J M 1 R d 1 K G p E 2 a g r + 3 K d 4 I r y q R e l E n 3 o k x a i b J p 8 Z k Y i z L h R J m o R B k q Z e r Q H C D K d r V C Y 1 e U a b 0 o 0 + 5 F m b Y S Z d P S L w k W Z c q J M l W J M l Q 3 1 a E 5 Q J T t C p M m r i i z e l F m 3 Y s y a y V K Y b g B 9 i B R Z p w o M 5 U o Q 0 V a H Z o D R N m y C q o r y n 6 9 K P v d i 7 L f S p T C c A P s Q a L s c 6 L s q 0 Q Z q g j r 0 B w g y n Y l V z N X l I N 6 U Q 6 6 F + W g l S i F 4 Q b Y g 0 Q 5 4 E Q 5 U I k y V H 7 W o T l A l O 3 q u / Z d U Q 7 r R T n s X p T D V q I U h h t g D x L l k B P l U C X K U K 1 b h + Y A U b Y r J j t A G E G v X p a W p n N h F m 2 2 k K Y w 4 g C H M F D Q 4 8 R p e j q o I F R e 1 y U 6 Q K K 2 g 2 1 E O k Q i 1 e A + 5 g l E 2 g 7 5 k Y Y c 4 h E W K g / / K P E f F Q C k Q I B C H W 4 H A F X j 3 P V B g Q G Z J w C B T E s U q D E M R H A g w w J B R o c E G Q 0 U Z B R Y U K j D L a E g h A U Z B R h k n g A N M u 3 g I G n M I S Z h q b K I k N F B Q k a D C Z n D Q C H T D h U y C B Y y C l z I P A E w Z N o h Q 9 K Y Q 0 z C U m X B I a N D h 4 w G H j K H 4 U O m H U B k E E J k F B C R e Q K M y L Q D i a Q x h 5 i E p c r i R E Y H F B k N U m Q O g 4 p M O 6 z I I L D I K N A i 8 w R w k W m H F 0 l j D j E J S 5 W F j I w O M z I a 0 M g c h h q Z d r C R Q b i R U Q B H 5 g m Q I 9 M O O p L G H G I S l i q L H h k d f G Q 0 + J E 5 D E A y 7 R A k g y A k o 8 C Q z B O A S K Y d i i S N O c Q k L F U W S D I 6 J M l o o C R z G J Z k 2 o F J B q F J R g E n m S f A k 0 w 7 Q E k a c 4 h J W K o s p m R 0 o J L R o E r m M F j J t M O V D A K W Q A E s w R M A S 9 A O W J L G H G I S j l t g o S X Q Q U u g g Z b g M G g J 2 k F L B m F L o M C W 4 A m w J W i H L U l j D j E J S 5 X F l k C H L Y E G W 4 L D s C V o h y 0 B w p Z A E 1 / 0 F A F G 7 b A l a c w h J m G p 8 k F G y i g j V Z j R Y d g S t M O W A G F L o M C W 4 A m w J W g Z a t Q 4 1 o h g S 8 B i S 6 D D l k C D L c F h 2 B K 0 j D h C 2 B I o s C V 4 A m w J 2 m F L 0 p h D T M J S Z b E l 0 G F L o M G W 4 D B s C d p h S 4 C w J V B g S / A E 2 B K 0 w 5 a k M Y e Y h K X K Y k u g w 5 Z A g y 3 B Y d g S t M O W A G F L o M C W 4 A m w J W i H L U l j D j E J S 5 X F l k C H L Y E G W 4 L D s C V o h y 0 B w p Z A g S 3 B E 2 B L 0 A 5 b k s Y c Y h K W K o s t g Q 5 b A g 2 2 B I d h S 9 A O W w K E L Y E C W 4 I n w J a g H b Y k j T n E J C x V F l s C H b Y E G m w J D s O W o B 2 2 B A h b A g W 2 B E + A L U E 7 b E k a c 4 h J W K o s t g Q 6 b A k 0 2 B I c h i 1 B O 2 w J E L Y U K 7 C l + A m w p b g d t i S N O c Q k f I y C x Z Z i H b Y U a 7 C l + D B s K W 6 H L W 3 G W f R 7 M 7 5 X 4 + X q 9 C s r p d V x + e d 1 P s l v V 8 d / / O L A p 2 9 P n C t A V z G 6 S t B V i q 4 y d N V H V w N 0 N U R X p o c v b W 8 i 9 x r 3 x + A O m Y R Q 4 z 4 Z 3 C m D e 2 V w t w z u F / R w 0 0 D Y h P s F u F + A O Q W 4 W 4 C 7 B b h b g L s F u F t W r z 5 v R P t r k d m r l P W z Z z X a 1 B T f q S q S l X r 6 l x 4 d r k f / F G p 0 V a 9 G T Q G l q q p y u f T 9 p U Z / E j U 6 r 9 S o N m s u q o K F s + a G F L B M 9 r f Z 4 K Q E q b r s / S B 3 o K b j 2 z 5 c O X 2 g y V f L k + o b z Z d z 5 / o l X f a 1 8 t z u T e c f t d 0 r W b S x t f y q T e M q P / T j Y v 5 u n E / K v k 3 u 8 2 m e z 8 r c y G 9 K y k / 5 3 X K 1 K F O + O 3 e L N L q T 0 X K 5 z a O 8 u z v a 5 7 0 V f 4 j u 8 t V o P F l i g u X 7 + a f y T p U U O q I v 9 m + j d i 4 2 a W a 9 5 3 Y / u N T f b R P X + q / h f i H P O h n L 6 e P X m 2 z 3 5 c W r f Z b Z / f U m k W x 5 4 + U 2 A 2 x 5 9 e 0 m c y x 9 t s r S W t 7 9 + / O p 7 c f o b l F l g 4 Y 8 I n d e / L h N f 5 0 v j g I K h a c c V i l O / / Z 6 9 G a v Q K 5 M S y U e 3 6 3 z S p O 2 5 S Q r j d + W k i y u h O y b Y t 4 x p y g y b u x X E J o D q T l c c J O W 2 0 y E 5 m K p O V x q l d b m z I T m E q k 5 X O y T F v I c C M 2 l U n O 4 F L B X c b s n t J d J 7 Z E 6 6 l 4 h e E k a f a l B U v H a q 2 o u y W M g N U i q j H s l u i W J D K U G S W V 3 r 3 K 8 J B O X u U S h c a 1 V v 3 y y J B Y j z x F S M d m b J Z J g j D h P a J 1 q r z C t J B o j z h V D 6 h L 7 l W y l J s X 5 Y k h 1 X K / 0 r S g e c c 7 Q + t l U P L E o H n H a G D x v Y i q e W B S P O H E M n j k x F U 8 s i k e c O q S u d 0 z F E 4 v i E S e P w b M n p u K J J f G A O H u 8 + B E c Z 0 F P L u F z W / S w G j 6 o R 6 P I c A w d j R z E c Z M 0 W h T H y t I I Y R w f T a P C c U w 8 P Q m A z 0 H Q 0 x / 4 7 A s 9 8 Y P P O x F e I V Y R T i F G E T 4 h N h E u I S Y R H i E W E Q 4 h B h H + I P b Q b 9 l I G c j o 0 e C x Y t J J n k i T H M Q 1 m F S t T + g k T 0 R T R b Z V 8 B q c e N a K N M l B X I M B r 8 E J n e S J N M l B X I M B r 8 E J n e S J O M n F N R j w G p x Q 8 a S i e M Q 1 G P A a n F L x p K J 4 x D U Y 8 B r s V Z l P R f G I a z D g N d g r S 5 + K 4 h H X Y M B r s F f H P p X E E 4 t r c I z X X B r 7 h W O k a A w R n q J 0 / u K Y D R r T g L / 9 0 2 / j + B s y / c a K v 0 X S b 3 X 4 m x b 9 5 o P j b m l c K l o 4 Y 7 K q 2 u v a F H S x E M L D + 2 w n + 8 p E N F a U y U / b P v t c 9 H z b p i b 7 n D y 4 p p E s M a q 2 S Q M n m e y 6 n Q 9 R C J q U e 9 w 0 r C N G 9 U J p F C G T G / j t l 5 0 O c B c / q B x f 0 w C H G J U 7 p f F 0 T F r j j s e X N B x f 0 0 / 9 M a r W S i P L m I z M H Y 8 v b T i + p h + 9 Y 1 R s l s Z Y M c m k O x 5 f 1 n B 8 T T / / x q h W L o 0 2 Y v J g d z y + f r P x J U 2 D 7 G N U 6 p f G 3 T A p v D s e n x B x I w + w 6 f f I B F U q p i E o T P r x j g c o B J / I / W 3 6 p S z B + z w N x + B y p 3 c 8 R C l / j N z l p o H I C a q 7 7 S V V 4 T K / d z 3 G p s Z M 0 j g x I D J m v B Q j X N 7 6 r s f Y 1 J p J m l o z C b J m v I Q b X N b 9 r s c o H I i Q u 9 z U o k m Q R e O l n + B q B n Q 9 R u F 4 g N z l p l Z N g q w a L x k D V / G g 6 z E K w f J y l 5 t a N g m y b L z U B F y 9 h q 7 H K I S O y 1 1 u a t 0 k y L r x D u p z 1 S a 6 H q M Q S C 0 n 3 W x q 4 S T I w v G O r X O 1 M r o e Y 1 M j J 2 1 q 5 K T I y P E O c X O V P r o e Y 1 M 7 J 2 1 q 5 6 T I z v G O N H N 1 S j o e o 3 S c W e 5 y U z s n R X a O d 8 C X q 7 L S 9 R i b 2 j l p U z s n x a B N P W r T u Z 0 j H X W V u 9 w 4 M z C y c 7 z D n 1 y F m 6 7 H 2 N T O S Z v a O S m y c 7 y j k F x 9 n q 7 H 2 N T O S Z v a O S m y c 7 y D g V x 1 o a 7 H 2 N T O S Z v a O S m y c 7 x j c l x t p K 7 H 2 N T O S Z v a O S m y c 7 x D Y 1 x l p 6 7 H 2 N T O y Z r a O S m y c 7 w j V F x d q q 7 H 2 N T O y Z r a O R m y c 7 w D R V x V r a 7 H 2 N T O y Z r a O R m y c 7 z j N V x N s K 4 x / 3 Z H a 6 S D J y H W 2 J F e o M / u u 6 H u j N n A i R m H 5 j + + t M b Q h u r i x T V P V J y q i X d E 5 z y R p U l 2 N F c i T V p H U 7 x s 2 + + v f / j p 9 f Y I z 8 X V z 0 d K h r b L J 1 J 9 V 7 x A k Q 4 e W 0 O J M x y a e r a C h q 2 g Y C s o 2 A q d s L V d Q o 8 q F u s C B Z d 4 b A 1 l r n B o 6 t k a a 9 i 6 I Q r z N V b w N e 6 E r + 1 S a s R k F U g 4 v o Z y R z g 0 9 X x N N H x N F O q a K N i a d M L W l g V 1 Y s z W l G N r K H m D Q 1 P P 1 l T D 1 l T B 1 l T B 1 r Q T t r Z L K l F 9 j 7 9 A Y W s e W 0 P Z E x y a e r Z m G r Z m C r Z m C r Z m n b C 1 X V a H K g z g A k U K e m w N p S 9 w a O r Z 2 t e w t a 9 g a 1 / B 1 n 4 n b G 2 X V q G K P r h A w Z k e W 0 P 5 A x y a e r Y O N G w d K N g 6 U L B 1 0 A l b 2 + U 1 q I I e L l A 8 r M f W 0 A F + h 6 a e r U M N W 4 c K t g 4 V b B 1 2 w t Z 2 i Q W q W I s L H I T s O w S h M / Q u k c I l 6 K l 8 g p 7 G K e h p v I J e F 9 y V Y j z q h Y K 5 y 7 t b K n 9 L 5 3 D p P C 6 V y 6 X y u T p x u q Q A k 3 q h Y O 6 y X l e w F o Z L p O C u y v E y G s / L a F w v 0 4 n v J U W 3 1 A s F c 5 d 1 v o I 1 K V w i B X d V / l f 1 w j r u a h w w 0 4 k H J s X V 1 A s F c 5 d 1 w Y K 1 I V w i B X d V X p j R u G F G 4 4 e Z T h w x K a K n X i i Y u 6 w n F q z R 4 B I p u K t y x o z G G z M a d 8 x 0 4 o 9 J s U T 1 Q s H c Z R 2 y Y K 0 E l 0 j B X Z V P Z j R O m d F 4 Z a Y T t 0 y K Y q o X C u Y u 6 5 c F a x a 4 R A r u q l w z o / H N j M Y 5 M 5 1 4 Z 1 L 8 V L 1 Q M H d Z 9 y x Y O 8 A l U n B X 5 a E Z j Y t m N D 6 a 6 c R J k y K 3 6 o W C u c t 6 a c E c / i 6 R g r s q R 8 1 o P D W j c d V M J 7 6 a F D N W L x T 8 k Y H 1 1 Y K 5 9 F 0 i x X c G l a 8 G G l 8 N N L 4 a d O K r S d F q 9 U L B 3 G V 9 t W B O e 5 d I w V 2 V r w Y a X w 0 0 v h p 0 4 q t J c X L 1 Q s H c 5 b + Q q T 6 R 6 b 6 R 6 T 6 S q b 6 S q T 6 T d e K r S R F 6 9 U L B 3 G V 9 t W C O d 5 d I w V 2 V r w Y a X w 0 0 v h p 0 4 q t J s Y H 1 Q s H c Z X 2 1 Y K 5 1 l 0 j B X Z W v B h p f D T S + G n T i q 0 l R i f V C w d x l f b V g z n O X S M F d l a 8 G G l 8 N N L 4 a d O K r S f G Q 9 U L B 3 G V 9 t W D u c Z d I w V 2 V r w Y a X w 0 0 v h p 0 4 q t J k Z j 1 Q s H c Z X 2 1 Y A 5 w l 0 j B X Z W v B h p f D T S + G n T i q 0 k x o P V C w d x l f b V g L m 6 X S M F d l a 8 G G l 8 N N L 4 a d O K r S d G n 9 U L B 3 G V 9 t W B O b J d I w V 2 V r w Y a X w 0 0 v h p 0 4 q t J c a / 1 Q s G R S 6 y v F s x N 7 R I p g p d U v l q s 8 d V i j a 8 W 6 3 w 1 M R A x a u l H l F 7 a 9 S a F 6 J a n Y p 5 a B 4 p 4 e + J c A b q K 0 V W C r l J 0 l a G r P r o a o K s h u i r z 1 L r f A Y v M s + 6 X K / w z 7 l C V p 9 Z F s / H P u F M G 9 8 r g b h n c L 8 D 9 A s I l 3 C 3 A 3 Q L M K M C 9 A t w r w L 0 C 3 C v A v a J 5 a g u N 3 6 W p l T W q a d R v l a 3 l a j 6 7 j 9 7 M J 5 9 G y 2 U + y / 9 S q T + H S h V L V L 1 K N T 1 M V i U w v V q 3 W Z 6 + + E u Z / l m V 6 c W V R p m a n t q r 0 t e e 7 9 J Q / 7 U 0 / U m 0 y U n K z i U Z Q 6 n Q c W L o k P K V C a I v d m n G b z Z Z t 2 f 5 j M k z z i Q W 2 9 1 d 3 r 4 f P 6 y i v M h j P s / f 5 b O 7 7 W + X u Z c b m k n f x R I D S x z z x D F L n P D E C U u c 8 s Q p S 5 z x x B l L 3 O e J + y z x g C c e s M R D n n j I C 6 w n S K X H k x u B n J e i E c R o e D k a Q Z C G l 6 Q R R G l 4 W R p B m I a X p h H E a X h 5 G k G g h p e o E U R q e J k a Q a i G l y o I U g V e q i B I F Y S 5 K U 1 O X q o g S B V 4 q Y I g V e C l C o J U g Z c q C F I F X q o g S B V 4 q Y I g V e C l C o J U g Z d q L E g 1 x j k m 3 A u U t Q A d 7 0 f n 4 N G B c X S y G h 1 B R m d 1 c f I O 3 A W c + A q n i M L J l H D a I Z y g B 6 e y w U l f c H o U f M A W H 0 X F / M B p H H D C A 5 w a A B + i x 8 f N 8 c F s f I Q Z 9 Y W e + K N f 4 A j 8 g y 8 J K E 9 Q Z A J 7 E p y O A E s 0 w p h 2 i 0 Z x 0 r h D G i l H Y 7 t o N B K N n 6 E R H z S e n H 5 V p 9 + B K d / o t z b 6 d Y h + z 6 A I P M W M K c p J Y y h I / y q x l m b U d D S y V s 6 d n a X R 8 a 5 i x / M X l 8 8 K i s v x 8 n Y y G k / z R X k 1 t 9 Z T v i g m r T W 9 C l P q / X z + 7 u 5 h v n h c l v f n 9 1 F u 7 S U o 8 K z i 3 j T P y 2 o h 3 x e z v K S 9 t W b e a H Z n b b O y w e 0 y M C 1 r q j g 1 T N C v H z e l W d D N r W E n P T T d 1 k + R C M o u L j d l U s q F 6 c 3 L l 9 f P I g d 1 K 2 9 d P Y u 2 n m 6 0 O i s 2 x O j D a L R w f t 6 Y m m W D + + e K U j f 7 2 j r l k w Y 9 e S 4 8 e e 5 3 4 j z c i f O 6 d 1 3 7 T V 6 H m 7 w O N r l j 4 l b U O y m P Z 5 b Z 6 9 t V v r b 6 t F e P Z z u C u / F i f J / P V v y v q 9 H 0 Z m 7 1 b z o a r x Y 5 T 1 P U G C q U z 3 3 3 / 1 g u z h 8 j + 0 x R J W c 0 W U b H 2 5 / L B 9 / M F 9 W D q 0 / 5 X t 0 W D 5 Y Y E x Y N r c e r h / m 0 c h j u 8 n 8 j F N / t H j b i L 0 B + e V l O h 5 t 8 u R q N V k X 7 0 e n p a V T M x F k + L S r Y Y H K f k / 7 P W z 4 y P 1 E m I o r j 7 8 7 3 K r u b J L Y H 2 D t y a B k H q b z v T 7 W I + 3 V k u T 7 f L j z R s V 0 T 7 F + 2 W w / 5 + n f 7 3 u n 8 v s T A N 2 L a V W E p V z i 3 y E l 1 N I r p E g S 7 B K R d r w D N J s 2 + 3 2 4 c b B f n s D d V p D t q N x b a T Y L t J q R d r 3 r M J j u + 3 2 4 a b D c l 7 Q 6 8 d o d C u 1 m w X a k 3 / e B T p O Z O 9 f 3 e 7 U 2 a C u 0 O g u 0 O h K e G w a e k k Z t e W N s l z T E 1 s 8 R I z 4 V V 2 f 2 Z 8 z v F 5 y R N N G F V d H / m P F H x O U l 2 J q x K R t I l E 1 Y m I 6 0 M J q w s R t I W E 1 Y X I + k L h P U F J H 2 B s L 6 A p C 9 Q s / R J + g J h f Q F J X y C s L y D p C 4 T 1 B S R 9 g b C + g K Q v E N Y X E H e S s L 6 A p C 8 Q 1 h e Q 9 C U O 6 0 u M i 3 S B X 6 x q w 4 F X 3 9 g G R t W W X t b o 2 x i U 0 c Q p 3 s e g n + V z d 9 s X 7 5 8 k 9 e 7 A K x Y F m 2 p R Y g O 0 c J d X E 2 t T d U l s g J T p 8 s r O Q E K q b n k b J S R Z + B W 0 A a + P y Y B Q e F X S U i I h r 6 I L p D W M q r z 0 v Z h 2 l 5 v y j M X 1 t h 5 j a U l u K z W S 5 6 o 2 o 5 n 1 Z q L 5 2 h p Y k X W y t j b 9 a W m z o w x N 5 Z 1 x Y Y d b 0 s J p 2 6 l d 1 a / 7 / M N 6 U Z h q U V G B c r 4 o z O p V 6 U Q t 7 T g s 9 W L p V e T c s i G l f M o w m z L K p c w B 3 n z Y / d c M K 0 N G j Y U s D T + O q + 5 k V M 7 Z I P w 4 r l 3 T 7 5 H H + 8 F v B r / 2 8 V T o U 0 X u J + H H s d 3 W p 2 Z x v x 9 + H K t w n 0 p m 0 A s + P s A L w Y A a u Y M 4 / D i e Y g M 6 R Q d Z + H F s J Q 6 o y T o Y B h 8 f Y q 0 b U q 0 b h r V u i L V u S L V u G N a 6 I d a 6 I d W 6 Y V j r h q T m Y 4 + q n e m F 9 c 7 0 i O f T 8 w p b 9 s K q Z 3 r E Z + h 5 P l k v r H 2 m R 0 p h 9 j z v y 4 Q V 0 J C q k s Z 4 f p Y J 6 6 A h 5 R m N X 4 / T h N X Q k D q H x n i + k w l r o g F S b t M r j m k g r I y G 1 E w z 4 H l M E N Z H Q 4 q P G a 9 O p Y G w S h p S x c v E n k 7 G N T o Z U 2 / c 0 8 m 4 R i f j m l H G N W N I a n q Y 1 L w / o Z 6 r x 4 O U a G z q a W x K Z J l 6 8 y q l b / H m D d l S T e a 9 h e y a J v P r 0 H L m t R a u s Z 3 i r G X 9 4 9 k h Y J F 9 n P N F G j x O O J x 5 c z r j j H r 9 C / p E Q H 1 v y v c 5 7 6 3 B C 4 h 8 + 9 6 K 0 O f c r g Y v I A t G 3 1 s w + o d p Q J + s J w N v L g 0 O 0 5 E B W W 4 G 3 n I z O E y L B m S H H H g z e c C 5 o g 1 e Q D b Q g b c Q D D k f U v + C I V m t h t 4 6 M u T A g g Y v I N v v 0 F u G h o c t Q 0 M y k 4 f e T B 4 e N J O h R 5 y 8 n u f k 9 Q 6 a y d A j z m 6 P z m T o H T S T o Z e R F 3 i u b u + g m Q w 9 P J P B 0 J k M L C S q f w G t B O 5 V a Q c W y 2 z w A l J x 2 9 C Z D C w I 2 e A F B E z w S 6 6 z 6 K H + B a T 2 L w C d y c D C f g 1 e c B i H S a V a A D p P g Y X R 9 C 9 g 0 b Q G j 5 N Z G H u z M D 5 s F s Y H r X M Q k z m W e H M s O W y O J W S O e b W E I S W Q m V c a G F K y 0 n i V f i E l 8 8 A z b Y G Y t u D B R Z C R n m Z e T z P S U 8 / 4 B Y I K g Q c L Q U Z 6 m n k 9 J T Y e e D Y e W B t v W 3 n 3 + 1 E Z 4 G r F 8 b C N d r 3 P P 4 0 / / D 6 + v 4 s G b r B r I b d 9 s C s f G 3 s S / f H H 0 f d 5 P l 1 F 6 x J Y L D 9 6 F 2 E S 9 6 P V u A q 7 u N x e H X 0 u o m L f W L H P x v f j 2 f 1 y t p 5 u Y j r s z d P Z 4 v T o 8 7 a b P 5 e n k q L x s n j f x y J C Z O b 2 7 X E y u s 3 f j C b r / L h 2 S L b 5 q 1 H x 7 z / s P 5 t H F 9 s 2 X u f / W B W 9 2 n f y Z P s F v U I g t 2 h j A T U W P t h d / m 4 8 + b / / r Q a G g d R Z M S Y n k s P B 0 h c P x c 3 V 0 k p k e R Q Y Y z Q U R 8 l x x L 7 E M r / 4 3 / / b o d W P r V S X a P k 4 G a + K L w D z x 8 g + n o / v i n Z W + Y M r z e u C a B e g z z P F d u n n f P J A 4 O F C v c q n 7 a u r Z o o x X / x m R z y e j u 3 N 4 6 O T o 2 c F D 7 4 b f T j d h Z 5 E B a Z c / P 9 m / K E c f M m Y g u K q R K + 9 n 0 M C M 6 L A 6 l l w g g 7 X B f W z Z g C h H k I T l a q + u V S M s M y r 7 V I N x 0 J T U 1 5 r + F G U a 8 0 m O m o T O F K F Z I 3 z S o R V e M t y y 9 H P q i U v l r s R 7 P y u N 1 d M b y L n + 9 U u u m l 7 r 1 w F a 5 4 E 5 k n Y P 3 l e 8 0 4 n Z M p 7 a + B Z Y J / d v / d c 4 v z 5 7 W J + Y 5 c Y q + A O / 7 d P c e O k T 3 1 Y 0 6 e 4 f t K n R v v j O p v n X t j H L q w u 2 u l 1 t / 0 W O X + 8 L 0 5 m l H u X 2 9 I P j / R u N J 7 d h T c h r C / 6 b S j W b k O b Z X U f c R a c 2 0 m j u R 1 r N w y 5 E 8 F B J s 2 m d L K Z R B c h k T k n Z 1 y Z u b d 1 E z 1 t N 9 G 3 v d z o 4 v 1 i n j / m s 5 N o l Y + m y x O 7 b S 7 z q W 2 z 2 k D X 8 3 8 t N e u b e q r P n + m h o 2 X R i 8 0 J o n 1 f v 5 p P b 8 Y z b W c L + / K P o 1 2 A b b U a 4 D h p H C a N o 6 R x k D S O k c Y h 0 j h C G g d I k / h o N z z a z t L N g B b b k T F b 9 k n 0 X + v 5 K r 9 e / W Y Z 8 P 1 8 l j / b N 1 M E 4 I Y 4 5 2 7 I H u 9 4 X h c s u 8 5 v r Y W 0 d 1 F M t T n j m 8 D d j L m b C X c z 5 W 5 m 3 M 0 + d 3 P A 3 R x y N y u + e 3 c P Y n / V 2 j L M e 2 j K + 1 J B / 9 j F + S 9 v R 6 v 8 f r 4 g k g j + j o 4 i c A R x H U F S R 5 D W E W R 1 B P 0 6 g k E d w b C O A J 8 d Y S k O U g C / 5 S P N s p s p X E q i Q 9 W u U O I H 8 r 6 w j x k u 0 Y b z w O + 6 / a H f c n / I N v 0 t Y 2 v k / k o B U W 7 v X Z r K o P m u P B a x j j Z H I q o + j G Z z u 7 U 8 j O z g Z g / W r Z i / i 2 7 W E y v k m / V D Z Q g X F F G + u j 2 t W n l Z h p H n i + i x 3 I X t n 7 M z + 9 D D P C 8 9 k 2 l l E f z I / R g 2 h v r t j K G + z h h y h i F 3 L 9 C 7 Q S P j q K 8 z j p p 0 6 s 1 8 c l / E L C k c o I J s E T a X B u V S 6 U Z O b V G T k + 2 R h B 2 0 g n G X D v 3 + w x x p 3 0 n j H C T O 9 e G d G t 5 d k R w S y e W Q n Y q A k 7 B 9 6 H T X f n F / / N H 9 Z f s G / 5 f 9 O 5 z f O L t b Z 0 z W r Y C C 4 U z w B z 8 5 i 5 t c A + d G E A G g k 2 h r K j u L n G X r e s X 9 v A k v 5 H 5 / v w k 3 5 H 5 7 2 I Y f o h / Z Z d T e f z 1 f j e z t z Z J c h j + W x 1 1 K V M l O t G J 2 u m G r 0 X F 5 z i g t g x a f k Q V V n P T l i 6 y G 2 F H Z S X M 2 f 7 S v e B h v Y b o X s 9 + t A t n L 5 y 8 u 9 9 d l + G 3 J T b u n R j 8 9 2 u v 8 b j + d N y e M s D o w Z 4 z I 8 a T Q K S N C y p 4 z I j T o p J H 4 G 3 i / 1 Z 8 2 I g / 8 b B f B M h B 0 u 9 t t j w U W Y 5 n m t 1 Y j i g m 6 H d J / O s 7 F Z K v N l Z H K m y s q M 2 A o m w F 1 y 3 l l B 9 T M Q 5 W h 8 q 2 V e v m C 1 W + P 5 S 6 w 7 5 / j 3 r y 2 s 3 H 5 z g q 7 6 u J r S 1 t r r Q w 3 3 q y 8 D L 2 Y r b L k t G h s Y z u Q 9 Z r 8 z q z e Y Q r w K d i V v Y 6 G a 4 d f 9 Q N U z h 4 Q o E I 7 A q G T 9 w e u Q W 6 3 4 O n 8 v Y P Q q b Y F 2 n Z Q N 4 W R 4 R 2 D E F 3 L i u H t J o J e h G Q t D k H Y X A L E z F b D U 3 M b D 0 / J b k O E V N i U C F V g i y K U q g 2 L n c P 6 l d h 5 f L s i f Z M v i / M i x V o b L c Y f 0 P c b + 8 N x z Z p V L j p 4 z / u h s H h P L / P l b b U x 2 l d 9 8 c V 4 Z t / G v + / f v / h i + X 5 k d 7 3 o 5 e V / f / z + w r 5 / k q 9 K 8 o u F 3 Z 2 / j L 5 a f j y 9 n N + u p 8 V 5 1 K / H J Q g x K y 2 T 4 6 O z n 5 Z 2 o G e r D / n N T W 7 O X o 1 v F q P F b 2 d f T e b r u + v V f D G 6 z 8 9 + m O W X i / H H / P n X d m s t y k r n l t H f 5 I V n t c y v t y K + H 9 s b d i 5 s b x S d u 1 6 d f r u + y R e r 9 f L s G / v j w k r m e f T i t X 3 9 p / H D g 1 0 X r E X w Y m b V x J J / L I 2 C M + h B d n a 7 / F j J x S 4 e s 7 O t b V / 8 e f n f b 7 6 / K G h O L U 3 x E e u X n Y t e 5 C 0 q n P T N z m Q v s 1 5 y E v 1 9 d j s v G F l c p 7 2 e e V u K r t p O R s U Y 7 B 6 6 K n w E K + z y j M b H f L T e i / H H x X x q n f 4 N 7 X H B U / v S z d 3 z y e T 6 d j S x N v y X q 8 U 6 f 1 u 7 T 9 X u U q E + l d r i H R Q p 3 1 F Y S A 7 U 7 x 0 K r i U C D V G s I U o 0 R K m G K N M Q 9 T V E A w 3 R U M X M n o p K x X O j Y r p R c d 2 o 2 G 5 U f D c q x h s V 5 4 2 K 9 U b F e 2 B 4 z 6 U I q y F h u M 6 l / K o h Y f j N p f e q I W E 4 z a X y q i F h e M y l 7 a p j n Y a 9 C v 5 y a s 3 m 4 q q j U b C Y U 2 g 2 1 V Y d j Y L L n C q z m b T q 9 E / B Z 9 D o s Y L P o O A z K P g M C j 6 D g s + g 4 D M o + A w K P s f S U r 3 D a I o o M M 6 p 4 s g Y v 4 o j i 3 V k i Y 4 s 0 5 G l O r K + j m y g I x v q y M p V R U O n l I N R C s I o J W G U o j B K J h u l z I x S G k Y p D q O U B 3 D y Y N N m 1 h J x k m D T Z N Y S c T J g 0 2 L W E n H c Z 9 N g 1 h J x f G f T X t Y z U 8 d y F c 9 Z 9 e d T W t Z T q d j O K j 6 f t 7 K e S s V 5 V u X 5 5 J T 1 O q r i P e j 0 X c V 7 U P E e V L w H F e 9 B x X t Q 8 R 5 U v A c V 7 2 N x 6 a + 1 d R g q l b P E 2 T s M l c p Z 4 m w e h k r l L H F 2 D 0 O l c p Y 4 2 4 f x 1 X X W D 6 v 5 H J 1 y 2 2 W 1 n 6 N T b r v s D O D o l N s u O w s 4 O u W 2 y 8 4 E z i 5 k 5 g I G / n a y W o 2 n 1 e / k 6 x c m + F y X 6 p 1 P 9 B 6 A p k 6 i o 4 m T 5 X V X K O Z f B L O 5 L N B S V V 7 5 f j 2 9 K W I C 5 u v Z 3 e X 8 0 + z 4 c l 0 A h f P Z 6 e X o t + X x L x i 0 e v t 8 1 y b x 3 d 8 + O 4 u z 9 F l V w q W n K 4 7 T M K F 9 M c w 3 K G P q b q C 7 0 Z e 1 b s x g U 1 X G d t Q t d u N Q i W V z H J q i P o 3 Z t 7 Q t i F P 8 f V V b o K Z d f R p X k l A v S X A k + U U 3 k o R W k h R G G + A O k i V w s g S V L E M l P x 2 a g 2 T Z r q q m c Y U Z 1 w s z 7 l 6 Y c S t h N i 2 E A 1 i Y M S f M W C X M U I V R h 6 Z O m I G + t i v h C a 4 o k 3 p R J t 2 L M m k l y q Y F a G I s y o Q T Z a I S Z a i c q U N z g C j b 1 Q u N X V G m 9 a J M u x d l 2 k q U T c u / J F i U K S f K V C X K U O 1 U h + Y A U b Y r T p q 4 o s z q R Z l 1 L 8 q s l S i F 4 Q b Y g 0 S Z c a L M V K I M F W p 1 a A 4 Q Z c t K q K 4 o + / W i 7 H c v y n 4 r U Q r D D b A H i b L P i b K v E m W o K q x D c 4 A o 2 5 V d z V x R D u p F O e h e l I N W o h S G G 2 A P E u W A E + V A J c p Q C V q H 5 g B R t q v x 2 n d F O a w X 5 b B 7 U Q 5 b i V I Y b o A 9 S J R D T p R D l S h D 9 W 4 d m g N E 2 a 6 g 7 A B h B L 1 6 W V q a z o V Z t N l C m s K I A x z C Q E G P E 6 f p 6 a C C U I l d l + g A i d o O t h H p E I l U g / u Y J x B p O + R H G n K I R 1 i o P P y j x H 9 U A J A C A Q p 1 u B 0 A V I 1 z 1 w c F B m S e A A Q y L V G g x j A Q w Y E M C w Q Z H R J k N F C Q U W B B o Q 6 3 h I I Q F m Q U Y J B 5 A j T I t I O D p D G H m I S l y i J C R g c J G Q 0 m Z A 4 D h U w 7 V M g g W M g o c C H z B M C Q a Y c M S W M O M Q l L l Q W H j A 4 d M h p 4 y B y G D 5 l 2 A J F B C J F R Q E T m C T A i 0 w 4 k k s Y c Y h K W K o s T G R 1 Q Z D R I k T k M K j L t s C K D w C K j Q I v M E 8 B F p h 1 e J I 0 5 x C Q s V R Y y M j r M y G h A I 3 M Y a m T a w U Y G 4 U Z G A R y Z J 0 C O T D v o S B p z i E l Y q i x 6 Z H T w k d H g R + Y w A M m 0 Q 5 A M g p C M A k M y T w A i m X Y o k j T m E J O w V F k g y e i Q J K O B k s x h W J J p B y Y Z h C Y Z B Z x k n g B P M u 0 A J W n M I S Z h q b K Y k t G B S k a D K p n D Y C X T D l c y C F g C B b A E T w A s Q T t g S R p z i E k 4 b o G F l k A H L Y E G W o L D o C V o B y 0 Z h C 2 B A l u C J 8 C W o B 2 2 J I 0 5 x C Q s V R Z b A h 2 2 B B p s C Q 7 D l q A d t g Q I W w J N f N F T B B i 1 w 5 a k M Y e Y h K X K B x k p o 4 x U Y U a H Y U v Q D l s C h C 2 B A l u C J 8 C W o G W o U e N Y I 4 I t A Y s t g Q 5 b A g 2 2 B I d h S 9 A y 4 g h h S 6 D A l u A J s C V o h y 1 J Y w 4 x C U u V x Z Z A h y 2 B B l u C w 7 A l a I c t A c K W Q I E t w R N g S 9 A O W 5 L G H G I S l i q L L Y E O W w I N t g S H Y U v Q D l s C h C 2 B A l u C J 8 C W o B 2 2 J I 0 5 x C Q s V R Z b A h 2 2 B B p s C Q 7 D l q A d t g Q I W w I F t g R P g C 1 B O 2 x J G n O I S V i q L L Y E O m w J N N g S H I Y t Q T t s C R C 2 B A p s C Z 4 A W 4 J 2 2 J I 0 5 h C T s F R Z b A l 0 2 B J o s C U 4 D F u C d t g S I G w J F N g S P A G 2 B O 2 w J W n M I S Z h q b L Y E u i w J d B g S 3 A Y t g T t s C V A 2 F K s w J b i J 8 C W 4 n b Y k j T m E J P w M Q o W W 4 p 1 2 F K s w Z b i w 7 C l u B 2 2 t B l n 0 e / N + F 6 N l 6 v T r 6 y U V s f l n 9 f 5 J L 9 d H f / x i w O f v j 1 x r g B d x e g q Q V c p u s r Q V R 9 d D d D V E F 2 Z H r 6 0 v Y n c a 9 w f g z t k E k K N + 2 R w p w z u l c H d M r h f 0 M N N A 2 E T 7 h f g f g H m F O B u A e 4 W 4 G 4 B 7 h b g b l m 9 + r w R 7 a 9 F Z q 9 S 1 s + e 1 W h T U 3 y n q k p W 6 u l f e n S 4 H v 1 T q N F V v R o 1 B Z S q y s r l 0 v e X G v 1 J 1 O i 8 U q P a z L m o E h b O n B t S w D L Z 3 2 a D k 5 K k 6 j L 4 g 9 y B m o 5 v + 3 D l 9 I E m Y C 1 P q m 8 0 X 8 6 f 6 5 d 1 2 d f L c 7 s 3 n X / U d q 9 k 0 c b W 8 i s 3 j a s c 0 Y + L + b t x P i n 7 N r n P p 3 k + K / M j v y k p P + V 3 y 9 W i T P v u 3 C 1 S 6 U 5 G y + U 2 l / L u 7 m i f + 1 b 8 I b r L V 6 P x Z I k J l u / n n 8 o 7 V W L o i L 7 Y v 4 3 a u d i k m v W e 2 / 3 g U n + 3 T V 7 r v 4 b 7 h T z r Z C 2 n j 1 9 v M t 6 X F 6 / 2 m W b 3 1 5 t k s u W N l 9 s s s O X V t 5 v s s f T Z K l N r e f f v z 6 e 2 H 6 O 7 R Z U R G v K I 3 H n x 4 z Y F d r 4 4 C i g U n n J Y p T j 9 2 + v R m 7 0 C u T I t l X h 8 t 8 4 r T d q W l K w 0 f l t O s r g S s m + K e c e c w s i 4 s V 9 B a A 6 k 5 n D R T V p y M x G a i 6 X m c L l V W p 8 z E 5 p L p O Z w w U 9 a z H M g N J d K z e F y w F 7 V 7 Z 7 Q X i a 1 R 2 q p e 8 X g J W n 0 p Q Z J 1 W u v s r k k j 4 H U I K k 0 7 p X p l i Q y l B o k 1 d 2 9 6 v G S T F z m E o X G 9 V b 9 E s q S W I w 8 R 0 j V Z G + W S I I x 4 j y h t a q 9 4 r S S a I w 4 V w y p T e x X s 5 W a F O e L I R V y v f K 3 o n j E O U N r a F P x x K J 4 x G l j 8 L y J q X h i U T z i x D F 4 5 s R U P L E o H n H q k N r e M R V P L I p H n D w G z 5 6 Y i i e W x A P i 7 P H i R 3 C c B T 2 5 h M 9 t 0 c N q + K A e j S L D M X Q 0 c h D H T d J o U R w r S y O E c X w 0 j Q r H M f H 0 J A A + B 0 F P f + C z L / T E D z 7 v R H i F W E U 4 h R h F + I T Y R L i E m E R 4 h F h E O I Q Y R P i D 2 E O / Z S N l I K N H g 8 e K S S d 5 I k 1 y E N d g U r k + o Z M 8 E U 0 V 2 V b B a 3 D i W S v S J A d x D Q a 8 B i d 0 k i f S J A d x D Q a 8 B i d 0 k i f i J B f X Y M B r c E L F k 4 r i E d d g w G t w S s W T i u I R 1 2 D A a 7 B X a T 4 V x S O u w Y D X Y K 8 0 f S q K R 1 y D A a / B X i 3 7 V B J P L K 7 B M V 5 z a e w X j p G i M U R 4 i t L 5 i 2 M 2 a E w D / v Z P v 4 3 j b 8 j 0 G y v + F k m / 1 e F v W v S b D 4 6 7 p X G p a O G M y a p q r 2 t T 0 M V C C A / v s 5 3 s q x P R W F E m P 2 3 7 7 H P R 8 2 2 b m u x z 8 u C a R r L E q O I m D Z x k s u t 2 P k Q h a F L u c d O w j h j V D K V R h E x u 4 L d f d j r A X f y g c n x N A x x i V P K U x t M x a Y 0 7 H l / S c H x N P / X H q G I r j S x j M j J 3 P L 6 0 4 f i a f v S O U c F Z G m P F J J P u e H x Z w / E 1 / f w b o 3 q 5 N N q I y Y P d 8 f j 6 z c a X N A 2 y j 1 G 5 X x p 3 w 6 T w 7 n h 8 Q s S N P M C m 3 y M T V K 2 Y h q A w 6 c c 7 H q A Q f C L 3 t + m X s g T v 8 z Q c g 8 u d 3 v E Q p f w x c p e b B i I n q P a 2 l 1 S F y / z e 9 R i b G j N J 4 8 S A y J j x U o x w e e u 7 H m N T a y Z p a s 0 k y J r x E m 5 w W f e 7 H q N w I E L u c l O L J k E W j Z d + g q s Z 0 P U Y h e M B c p e b W j U J s m q 8 Z A x c x Y O u x y g E y 8 t d b m r Z J M i y 8 V I T c P U a u h 6 j E D o u d 7 m p d Z M g 6 8 Y 7 q M 9 V m + h 6 j E I g t Z x 0 s 6 m F k y A L x z u 2 z t X K 6 H q M T Y 2 c t K m R k y I j x z v E z V X 6 6 H q M T e 2 c t K m d k y I 7 x z v S z N U p 6 X i M 0 n F m u c t N 7 Z w U 2 T n e A V + u y k r X Y 2 x q 5 6 R N 7 Z w U g z b 1 q E 3 n d o 5 0 1 F X u c u P M w M j O 8 Q 5 / c h V u u h 5 j U z s n b W r n p M j O 8 Y 5 C c v V 5 u h 5 j U z s n b W r n p M j O 8 Q 4 G c t W F u h 5 j U z s n b W r n p M j O 8 Y 7 J c b W R u h 5 j U z s n b W r n p M j O 8 Q 6 N c Z W d u h 5 j U z s n a 2 r n p M j O 8 Y 5 Q c X W p u h 5 j U z s n a 2 r n Z M j O 8 Q 4 U c V W 1 u h 5 j U z s n a 2 r n Z M j O 8 Y 7 X c D X B u s b 8 2 x 2 t k Q 6 e h F h j R 3 q B P r v v h r o z Z g M n Z h y a / / j S G k M b q o s X 1 z x R c a o m 3 h G d 8 0 S W J t n R X I k 0 a R 1 N 8 b J t v 7 / + 4 a f X 2 y M 8 F 1 c / H y k Z 2 i 6 f S P V d 8 Q J F O n h s D S X O c G j q 2 Q o a t o K C r a B g K 3 T C 1 n Y J P a p Y r A s U X O K x N Z S 5 w q G p Z 2 u s Y e u G K M z X W M H X u B O + t k u p E Z N V I O H 4 G s o d 4 d D U 8 z X R 8 D V R q G u i Y G v S C V t b F t S J M V t T j q 2 h 5 A 0 O T T 1 b U w 1 b U w V b U w V b 0 0 7 Y 2 i 6 p R P U 9 / g K F r X l s D W V P c G j q 2 Z p p 2 J o p 2 J o p 2 J p 1 w t Z 2 W R 2 q M I A L F C n o s T W U v s C h q W d r X 8 P W v o K t f Q V b + 5 2 w t V 1 a h S r 6 4 A I F Z 3 p s D e U P c G j q 2 T r Q s H W g Y O t A w d Z B J 2 x t l 9 e g C n q 4 Q P G w H l t D B / g d m n q 2 D j V s H S r Y O l S w d d g J W 9 s l F q h i L S 5 w E L L v E I T O 0 L t E C p e g p / I J e h q n o K f x C n p d c F e K 8 a g X C u Y u 7 2 6 p / C 2 d w 6 X z u F Q u l 8 r n 6 s T p k g J M 6 o W C u c t 6 X c F a G C 6 R g r s q x 8 t o P C + j c b 1 M J 7 6 X F N 1 S L x T M X d b 5 C t a k c I k U 3 F X 5 X 9 U L 6 7 i r c c B M J x 6 Y F F d T L x T M X d Y F C 9 a G c I k U 3 F V 5 Y U b j h h m N H 2 Y 6 c c S k i J 5 6 o W D u s p 5 Y s E a D S 6 T g r s o Z M x p v z G j c M d O J P y b F E t U L B X O X d c i C t R J c I g V 3 V T 6 Z 0 T h l R u O V m U 7 c M i m K q V 4 o m L u s X x a s W e A S K b i r c s 2 M x j c z G u f M d O K d S f F T 9 U L B 3 G X d s 2 D t A J d I w V 2 V h 2 Y 0 L p r R + G i m E y d N i t y q F w r m L u u l B X P 4 u 0 Q K 7 q o c N a P x 1 I z G V T O d + G p S z F i 9 U P B H B t Z X C + b S d 4 k U 3 x l U v h p o f D X Q + G r Q i a 8 m R a v V C w V z l / X V g j n t X S I F d 1 W + G m h 8 N d D 4 a t C J r y b F y d U L B X O X / 0 K m + k S m + 0 a m + 0 i m + k q m + k z W i a 8 m R e j V C w V z l / X V g j n e X S I F d 1 W + G m h 8 N d D 4 a t C J r y b F B t Y L B X O X 9 d W C u d Z d I g V 3 V b 4 a a H w 1 0 P h q 0 I m v J k U l 1 g s F c 5 f 1 1 Y I 5 z 1 0 i B X d V v h p o f D X Q + G r Q i a 8 m x U P W C w V z l / X V g r n H X S I F d 1 W + G m h 8 N d D 4 a t C J r y Z F Y t Y L B X O X 9 d W C O c B d I g V 3 V b 4 a a H w 1 0 P h q 0 I m v J s W A 1 g s F c 5 f 1 1 Y K 5 u F 0 i B X d V v h p o f D X Q + G r Q i a 8 m R Z / W C w V z l / X V g j m x X S I F d 1 W + G m h 8 N d D 4 a t C J r y b F v d Y L B U c u s b 5 a M D e 1 S 6 Q I X l L 5 a r H G V 4 s 1 v l q s 8 9 X E Q M S o p R 9 R e m n X m x S i W 5 6 K e W o d K O L t i X M F 6 C p G V w m 6 S t F V h q 7 6 6 G q A r o b o q s x T 6 3 4 H L D L P u l + u 8 M + 4 Q 1 W e W h f N x j / j T h n c K 4 O 7 Z X C / A P c L C J d w t w B 3 C z C j A P c K c K 8 A 9 w p w r w D 3 i u a p L T R + l 6 Z W 1 q i m U b 9 V t p a r + e w + e j O f f B o t l / k s / 0 u l / h w q V S x R 9 S r V 9 D B Z l c D 0 a t 1 m e f r i L 2 X 6 Z 1 W m F 1 c a Z W p 6 a q 9 K X 3 u + S 0 P 9 1 9 L 0 J 9 E m J y k 7 l 2 Q M p U L H i a F D y l c m i L 7 Y p R m / 2 W T d n u U z J s 8 4 k 1 h s d 3 d 5 + 3 7 8 s I r y I o / 5 P H + X z + 6 2 v 1 3 m X m 5 o J n 0 X S w w s c c w T x y x x w h M n L H H K E 6 c s c c Y T Z y x x n y f u s 8 Q D n n j A E g 9 5 4 i E v s J 4 g l R 5 P b g R y X o p G E K P h 5 W g E Q R p e k k Y Q p e F l a Q R h G l 6 a R h C n 4 e V p B I E a X q J G E K n h Z W o E o R p e q i B I F X i p g i B V E O a m N D l 5 q Y I g V e C l C o J U g Z c q C F I F X q o g S B V 4 q Y I g V e C l C o J U g Z c q C F I F X q q x I N U Y 5 5 h w L 1 D W A n S 8 H 5 2 D R w f G 0 c l q d A Q Z n d X F y T t w F 3 D i K 5 w i C i d T w m m H c I I e n M o G J 3 3 B 6 V H w A V t 8 F B X z A 6 d x w A k P c G o A f I g e H z f H B 7 P x E W b U F 3 r i j 3 6 B I / A P v i S g P E G R C e x J c D o C L N E I Y 9 o t G s V J 4 w 5 p p B y N 7 a L R S D R + h k Z 8 0 H h y + l W d f g e m f K P f 2 u j X I f o 9 g y L w F D O m K C e N o S D 9 q 8 R a m l H T 0 c h a O X d 2 l k b H u 4 o d z 1 9 c P i s o L s f L 2 8 l o P M 0 X 5 d X c W k / 5 o p i 0 1 v Q q T K n 3 8 / m 7 u 4 f 5 4 n F Z 3 p / f R 7 m 1 l 6 D A s 4 p 7 0 z w v q 4 V 8 X 8 z y k v b W m n m j 2 Z 2 1 z c o G t 8 v A t K y p 4 t Q w Q b 9 + 3 J R m Q T e 3 h p 3 0 0 H R b P 0 U i K L u 4 3 J R J K R e m N y 9 f X j + L H N S t v H X 1 L N p 6 u t H q r N g Q o w + j 0 c L 5 e W N q l g 3 u n y t K 3 e x r 6 5 R P G v T k u f D k u d + J 8 3 A n z u v e d e 0 3 e R 1 u 8 j r Y 5 I 6 J W 1 H v p D y e W W a v b 1 f 5 2 u r T X j 2 e 7 Q j u x o v x f T 5 b 8 b + u R t O b u d W / 6 W i 8 W u Q 8 T V F j q F A + 9 9 3 / Y 7 k 4 f 4 z s M 0 W V n N F k G R 1 v f y 4 f f D N f V A + u P u V 7 d V s 8 W G J M W D S 0 H q 8 e 5 t P K Y b j L / 4 1 Q f L d 7 2 I i / A P n l Z T k d b v L l a j R a F e 1 H p 6 e n U T E T Z / m 0 q G C D y X 1 O + j 9 v + c j 8 R J m I K I 6 / O 9 + r 7 G 6 S 2 B 5 g 7 8 i h Z R y k 8 r 4 / 1 S L u 1 5 H l + n y 7 8 E T H d k 2 w f 9 l u P e T r 3 + 1 7 p / P 7 E g P f i G l X h a V c 4 d w i J 9 X R K K Z L E O w S k H a 9 A j S b N P t + u 3 G w X Z z D 3 l S R 7 q j d W G g 3 C b a b k H a 9 6 j G b 7 P h + u 2 m w 3 Z S 0 O / D a H Q r t Z s F 2 p d 7 0 g 0 + R m j v V 9 3 u 3 N 2 k q t D s I t j s Q n h o G n 5 J G b n p h b Z c 0 x 9 T M E i M 9 F 1 Z l 9 2 f O 7 x S f k z T R h F X R / Z n z R M X n / v / 2 v n U 5 j i N H 9 7 8 j 5 h 0 q O D + W i k O R n a h L d + + E d 0 O 0 x h r J t D 2 7 9 M g R x 6 N w N M k y 3 S L Z r e 2 L P B 6 F H m i f Y 1 / s Z F X 1 J Y E E M l H V x T m 7 X v 2 R 2 F X I q k w A m Q m g k B 8 k 2 Z m w K h l J l 0 x Y m Y y 0 M p i w s h h J W 0 x Y X Y y k L x D W F 5 D 0 B c L 6 A p K + Q G T p k / Q F w v o C k r 5 A W F 9 A 0 h c I 6 w t I + g J h f Q F J X y C s L y D u J G F 9 A U l f I K w v I O l L G t a X F B f p A r 9 Y 1 Y Y D F y / s A y b N l l 7 X 6 N s Y l M m 9 U 7 y P i X 7 W 7 W 6 2 L 9 6 3 J P X u w C s W B Z t q U e I D a O E u r y b W p u q S + A B S p s s r O w M Z q b r l b Z S Q F e F X 0 A d 4 f c x G h M K r k p Y T C X k V X S C P M K r x 0 v d i 2 v 3 c l G e s f m / r M d a W 5 L Z S I 2 n X P D O Z W W 8 m m a + t g Z V Y J 2 t r 0 5 / W N j t C a K q v T C s 7 3 J J W T t t O 7 Z p + 3 Z Z v 1 4 v K V E u q C p T z R W V W r 2 o n a m n H Y a k X S 6 8 i 5 5 Y N O e V T g d l U U C 4 V T u D N D 7 v / W G B l K K i x U O T h 5 r j q T k H l X I z C z X H t m u G A N B 8 G v x n 8 O M R T Y U g V e Z i F m 2 O 7 b U j N 4 u E w 3 B y r 8 J B K Z j Q I N h / h h W B E j d x R G m 6 O p 9 i I T t F R E W 6 O r c Q R N V l H 4 2 D z M d a 6 M d W 6 c V j r x l j r x l T r x m G t G 2 O t G 1 O t G 4 e 1 b k x q P g 6 o 2 p l B W O / M g H g + A 6 + w 5 S C s e m Z A f I a B 5 5 M N w t p n B q Q U 5 s D z v k x Y A Q 2 p K m m M 5 2 e Z s A 4 a U p 7 R + P U 4 T V g N D a l z a I z n O 5 m w J h o g 5 T a 9 4 p g G w s p o S M 0 0 A 5 7 H B G F 9 N K T 4 m P H q V B o I q 6 Q h V b x M 6 u l k G t H J l H r j n k 6 m E Z 1 M I 6 N M I 2 P I I j 3 M I u / P q O f q 8 S A n G p t 7 G p s T W e b e v M r p W 7 x 5 Q 7 Z U U 3 h v I b u m K f w 6 t J x 5 r Q 3 X 2 E 5 x 1 r K + e X F I s M g 2 5 3 y R F s 0 J h w t v T h e c U a 9 / w Z A I a O h N + S H n v b V 4 A Z H v 0 F s R h p z b 1 e I F Z M E Y e g v G 8 D A N G J L 1 Z O T N p d F h O j I i y 8 3 I W 2 5 G h 2 n R i O y Q I 2 8 m j z h X t M U L y A Y 6 8 h a C M e d D 6 l 8 w J q v V 2 F t H x l y w o M U L y P Y 7 9 p a h 8 W H L 0 J j M 5 L E 3 k 8 c H z W Q Y E C d v 4 D l 5 g 4 N m M g y I s z u g M x k G B 8 1 k G B T k B Z 6 r O z h o J s M A z 2 Q w d C Y D G x L V v 4 B W A v e q t A M b y 2 z x A l J x 2 9 C Z D G w Q s s U L S D D B L 7 n O R g / 1 L y C 1 f w H o T A Y 2 7 N f i B Y d x m F S q B a D z F N g w m v 4 F b D S t R X M y C 1 N v F q a H z c L 0 o H U O U j L H M m + O Z Y f N s Y z M M a + W M O Q k Z O a V B o a c r D R e p V / I y T z w T F s g p i 1 4 4 S I o S E 8 L r 6 c F 6 a l n / A K J C o E X F o K C 9 L T w e k p s P P B s P L A 2 3 r b y 7 j e T O s H V i u N u m + 1 6 W / 4 y f f v 3 6 e 1 N M n K T X S u 5 7 Z N d + d z Y k + T D h 6 N v y v J h l a z r w G L 9 0 b t K k 7 i d r K Z N 2 s X z 7 a + j j 1 V W 7 G s r 9 t n 0 d j q 7 X c 7 W D 5 u c D n v x d L Y 4 P f q 4 7 e b 3 9 a m k Z L q s 3 v e + y h C Z u X 1 7 d z + 5 L l 9 P 7 t f l c X R I 9 v G v J t W / f 7 P / b J o u t s / 4 r v z b q u r V v p M n 2 y / o T Q R y G 2 2 s Q o 2 V D 3 Z T / j S 9 / 6 / / b A a G A 6 m z a k x O J o c T S 1 / c V R d X S y u R 5 V F g j M l Y H C X H E f s S y / z q v 3 / s 0 O J j q 9 U l W b 6 7 n 6 6 q L w D z d 4 l t X k 5 v q u e s y j t X m p c V 0 S 5 B n 2 e K 7 d L 3 5 f 0 d C Q 9 X 6 l W 3 t q 9 u H l O N + f x X O + L p w 9 R e P D 4 6 O X p S 8 e D r y d v T X e p J U s W U q / + v p m / r w d e M q S h e 1 d F r 7 3 Z I Y E Y U W J w F J + h w X V A / I w M I 9 R D a q F T z z a V h h G V e t E s R j o W m p r z W 8 K O o 1 5 p N d t Q m c a R J y Z q W j Q i b 9 J b l l q M f V U t e K n c j 2 P l d b 1 4 x v U m c 7 1 e 7 7 K b t t X o V j L Q E p i X s W z 6 L v N N J m f L e G m g L b N v 9 e 5 9 J n H 9 2 v Z h f 2 S X G K r j D / 2 0 r b p y 0 1 d s 1 b c X 1 k 7 a a 7 I / r b N q 9 t M 3 O r S 7 a 6 X W z / R Y 5 f 3 d b n c y o 9 y 7 3 S d + + o 1 e T 6 e w m v A l h f d F v Q 6 l 2 G 9 o s q / u M s + D c z l r N 7 V S 7 Y c i d C A 4 y a z e l s 8 0 k O g + J z D k 5 4 8 r M v a y b 6 H m 3 i b 7 t 5 U Y X b x f z 8 l 0 5 O 0 l W 5 e R h e W K 3 z W X 5 Y J / Z b K D r + T / V m v U i T v X x I z 1 0 t K x 6 s T l B t O / r F / O H q + l M 2 9 n K v v x w t E u w b V Y D n C e N 0 6 R x l j R O k s Y 5 0 j h F G m d I 4 w R p k h / t p k f b W b o Z 0 G I 7 M m b L P k n + b T 1 f l Z e r X y 0 D v p n P y i f 7 x 1 Q J u C H O u R u y x z u e 1 x X L L s t r a y H t X R T T b M 7 4 I n A X U + 5 i x l 3 M u Y s F d 3 H I X R x x F 8 f c x Y b v 3 t W D 2 N 8 8 b R n m P b T l f a 2 g H 3 Z 5 / s v r y a q 8 n S + I J I L 3 0 V E E j i C N E W Q x g j x G U M Q I h j G C U Y x g H C P A Z 0 d Y i o M U w H / y k W b Z L R Q u J d G h Z l e o 4 w f y v r D P G a 6 j D c 8 C 9 3 X 7 w 7 D j / l B s + l v n 1 s j 9 l R K i 3 N 6 7 N I 1 B 8 3 V 9 L G K d b I 5 E N H 2 Y z O Z 2 a 7 m b 2 M H N 7 q x b M f 8 p u V r f W y F f r e 8 a Q 7 i i S M r V 9 W n z l K / q N P J y k b y r d 2 H 7 5 + z M N r q b l 7 V n 8 t B Y B H / m b o a N o W E 3 Y 2 i o M 4 a c Y c j d C / R u 1 M o 4 G u q M o z a d e j 2 / v 6 1 y l h Q O U E W 2 C J t L o 3 q p d D O n t l G T k + 2 R h F 1 o B c d d e v T 7 D 3 O k f S e N c 5 A 4 1 4 d 3 a n h 3 R X J I J J d D d i o C T s K 2 0 e n u + d X 1 6 X v 3 z v Y N / p 3 9 O 5 x 7 n N 2 t M y Z j K 6 B g O J P 4 g w / O 4 o J r Y G w E M Q B 0 k m x N Z W e R s 2 x d r 7 j b m / R C 7 v 7 P m 3 R D 7 t 7 d N v 0 Q 3 W S X U X v 9 u / l q Y i 9 v l u Q 6 / b E + 7 l J H l e x E q 2 a n m 7 a a H N f n j P I 6 a f E J W V D F S V + / y G q I H Z W d N G f z d / Y V d 9 N t m O 7 l 7 O 9 W g e z P p y + f 7 3 / X 6 b c 1 N + 2 e m v z l n f 1 d 3 u y n 8 + a E E V Y H 5 o w R O Z 4 U O m V E S N l z R o Q G n T Q S 7 4 F 3 L 3 7 a i D T 4 3 i 6 C d S L o d r f b H g u s x v J Q X l u N q C b o d k j / 6 j g X 9 1 t t b o x U 3 l x R m Q F j 2 Q y I L e e N H R C Z h y p D 5 U 9 W 6 v U L V r + + q 3 e B f f 8 c 9 + Y 7 O x u X P 1 l h N 1 3 8 z t J G r Z X x x p u V l 6 G X s 1 W R n V Y P 2 9 g O Z L 0 m 9 5 n V O 0 w B P g W 7 s s d o u O f w q 3 6 A y t k D A l R o R y B 0 8 v 7 A P Z D b L X g 6 f + 8 g d K p t g T 4 7 q J v C y P C O Q Y g u Z c X w d h N B L 0 K y F o c g b C 4 B Y m a r 4 a m 5 j Y e n Z L c h Q i p s S o Q q s E U R S t W G x c 5 h / U r s N N + u S C / K Z X V e p F p r k 8 X 0 L f p + Y 2 8 c R 9 a s e t H B e 9 6 3 l c V 7 + r x c X j c b o 3 3 V Z 5 9 N Z / Z t / P v + 8 N l n y 5 8 n d t d L v r x 8 b l 9 + X 6 5 q 2 v O F 3 Z o / T 7 5 Y v j 9 9 P r 9 e P 1 S H U b + c 1 h G I W W 2 W H B + d / W V p R 3 m 2 e l t e X Z X m 7 G J 6 t Z g s f j 3 7 4 n 6 + v r l c z R e T 2 / L s 2 1 n 5 f D F 9 X z 7 9 0 u 6 r V U 3 p 0 n L 5 R V m 5 V c v y c i v f 2 6 m 9 Y C f C 9 k L V s 8 v V 6 Z / W V + V i t V 6 e v b A 3 F 1 Y s T 5 O X 3 9 n X / z K 9 u 7 O L g j U H X s 6 s j l j y 9 7 V F c A Y D K M 6 u l + 8 b o d i V Y 3 a 2 N e z t n 3 a A F c G p J a g + X / 2 w c 8 4 r x K L K P d / s S f Z n M c h O k j / O r u c V C 6 v f + W B g 3 t R C a z a S S T U A u 3 u u K u / A i r k + n f G + n K z 3 A v z z Y v 5 g 3 f 0 N 7 X H F U P v S z d V n 9 / e X 1 5 N 7 a 7 1 / v l q s y z f R H S q 6 P 4 X 6 V O s J 9 4 W 4 f s 3 K + m A f T z 7 4 Z 0 j q u 5 X x 5 H w F 8 M 4 L R 4 l A Q 5 R q i D I N U a 4 h K j R E Q w 3 R S E M 0 V j F z o K J S 8 d y o m G 5 U X D c q t h s V 3 4 2 K 8 U b F e a N i v V H x H h j e c + h h E R K G 6 x w a W I S E 4 T e H / B U h Y T j N o X x F S B g e c 4 h e M d Z p 2 K v g L 6 f W L E x X j E b B Y k 6 h W R S u G I 2 C y 5 w q s y B b M f 1 T 8 B k 0 e q z g M y j 4 D A o + g 4 L P o O A z K P g M C j 6 D g s + p t F T v w j d V g h j n b 3 F k j M v F k a U 6 s k x H V u j I c h 3 Z U E c 2 0 p G N d W T 1 q q K h U 8 r B K A V h l J I w S l E Y J Z O N U m Z G K Q 2 j F I d R y g M 4 e b C I m l E i T h I s g m a U i J M B i 5 g Z J e K 4 z y J k R o k 4 v r O I m H F m 6 l i u 4 j m r / j z a Z Z x K x X Z W 8 X l I y z i V i v O s y v O 4 l X E d V f E e d P q u 4 j 2 o e A 8 q 3 o O K 9 6 D i P a h 4 D y r e g 4 r 3 q b j 0 R 2 0 d h k r l L H H 2 D k O l c p Y 4 m 4 e h U j l L n N 3 D U K m c J c 7 2 Y X x 1 n f X D a j 5 H p 9 x 2 W e 3 n 6 J T b L j s D O D r l t s v O A o 5 O u e 2 y M 4 G z C 5 m 5 g G O C O 1 m t p g / N f f J h D B N 8 j K H A 8 x j w g d j V S X J 0 7 w D A 7 m r I / F 4 w m + v a L U 1 R l m / W D 1 d V u s B 8 P b t 5 P v 9 l d v x 8 X Y U R 5 7 P T 5 5 N f l 8 c / 4 K D V m 6 e 7 Z x L f / c 2 T s 7 T I n z T V X Q a 6 u j k t s e 6 r Y b 5 G Y K q 7 g e 5 G X 5 f B M a N N w R n b U b c O j k M l V t R x a K r S N W b / p G 2 t n O r v V 9 H a N d 1 K 1 7 i S h L g k w Z H k Z / 1 I E j p J U h h t g D t I l s D J E l S y D F U D d W g O k m W 3 g p v G F W Y a F 2 b a v z D T T s J s W y M H s D B T T p i p S p i h 4 q M O T U y Y g b 5 2 q + 4 J r i i z u C i z / k W Z d R J l 2 9 o 0 K R Z l x o k y U 4 k y V O n U o T l A l N 1 K i a a u K P O 4 K P P + R Z l 3 E m X b y j A Z F m X O i T J X i T J U V t W h O U C U 3 e q W Z q 4 o i 7 g o i / 5 F W X Q S p T D c A H u Q K A t O l I V K l K E a r g 7 N A a L s W C T V F e U w L s p h / 6 I c d h K l M N w A e 5 A o h 5 w o h y p R h g r G O j Q H i L J b R d b C F e U o L s p R / 6 I c d R K l M N w A e 5 A o R 5 w o R y p R h q r T O j Q H i L J b + d e h K 8 p x X J T j / k U 5 7 i R K Y b g B 9 i B R j j l R j l W i D J X C d W g O E G W 3 W r M j F C M Y x G V p a X o X Z v X M D t I U R h z g E A 4 U D D h x m o E u V B C q v u s S H S B R 2 8 E u I h 0 j k W r i P u Y R R N o t 8 i M N O c Q j L F Q + / K O M / 6 g C Q I o I U K j D 3 Q J A z T h 3 f V D E g M w j B I F M x y h Q 6 z A Q i Q M Z N h B k d J E g o w k F G U U s K N T h j q E g F A s y i m C Q e Y R o k O k W D p L G H G I S l i o b E T K 6 k J D R x I T M Y U E h 0 y 0 q Z F B Y y C j i Q u Y R A k O m W 2 R I G n O I S V i q b H D I 6 K J D R h M e M o f F h 0 y 3 A J F B E S K j C B G Z R 4 g R m W 5 B I m n M I S Z h q b J x I q M L F B l N p M g c F i o y 3 W J F B g W L j C J a Z B 4 h X G S 6 x Y u k M Y e Y h K X K h o y M L m Z k N E E j c 1 j U y H Q L G x k U N z K K w J F 5 h M i R 6 R Y 6 k s Y c Y h K W K h s 9 M r r w k d H E j 8 x h A S T T L Y J k U A j J K G J I 5 h G C S K Z b F E k a c 4 h J W K p s I M n o I k l G E 0 o y h 8 W S T L d g k k H R J K M I J 5 l H i C e Z b g E l a c w h J m G p s j E l o w s q G U 1 U y R w W V j L d 4 k o G B Z Z A E V i C R w g s Q b f A k j T m E J N w 3 g I b W g J d a A k 0 o S U 4 L L Q E 3 U J L B s W W Q B F b g k e I L U G 3 2 J I 0 5 h C T s F T Z 2 B L o Y k u g i S 3 B Y b E l 6 B Z b A h R b A k 1 + 0 W M k G H W L L U l j D j E J S 5 V P M l J m G a n S j A 6 L L U G 3 2 B K g 2 B I o Y k v w C L E l 6 J h q 1 D r X i M S W g I 0 t g S 6 2 B J r Y E h w W W 4 K O G U c o t g S K 2 B I 8 Q m w J u s W W p D G H m I S l y s a W Q B d b A k 1 s C Q 6 L L U G 3 2 B K g 2 B I o Y k v w C L E l 6 B Z b k s Y c Y h K W K h t b A l 1 s C T S x J T g s t g T d Y k u A Y k u g i C 3 B I 8 S W o F t s S R p z i E l Y q m x s C X S x J d D E l u C w 2 B J 0 i y 0 B i i 2 B I r Y E j x B b g m 6 x J W n M I S Z h q b K x J d D F l k A T W 4 L D Y k v Q L b Y E K L Y E i t g S P E J s C b r F l q Q x h 5 i E p c r G l k A X W w J N b A k O i y 1 B t 9 g S o N g S K G J L 8 A i x J e g W W 5 L G H G I S l i o b W w J d b A k 0 s S U 4 L L Y E 3 W J L g G J L q S K 2 l D 5 C b C n t F l u S x h x i E j 5 G w c a W U l 1 s K d X E l t L D Y k t p t 9 j S Z p x V v z f j u 5 g u V 6 d f W C m t j u s / L 8 v 7 8 n p 1 / O E H J 3 z 6 5 s T 5 B e h X i n 5 l 6 F e O f h X o 1 x D 9 G q F f Y / T L D P B P 2 5 v E / Y 3 7 Y 3 C H T E a o c Z 8 M 7 p T B v T K 4 W w b 3 C w b 4 0 U D Y h P s F u F + A O Q W 4 W 4 C 7 B b h b g L s F u F t W r z 5 u R P t j B f 1 V y / r J k 4 g 2 t Y 3 v N A X L a j 3 9 p E e H 6 9 H / C D V 6 F V e j t g G l p u h y v f R 9 U q P / J W r 0 r F G j K K g u K p K F Q X V D C t i g A T Y b n I S f q g P 3 B 7 k D k Y 5 v + / D K 6 Q P F Z q 1 P q m 8 0 X 4 b W 9 S u + 7 E v p u d 1 7 m L / X d q 9 m 0 c b W 8 o s 6 T R v 4 6 H e L + U / T 8 r 7 u 2 / 1 t + V C W s x o 6 + X V N + U t 5 s 1 w t a k R 4 5 2 q F s n s / W S 6 3 M M u 7 q 5 M 9 L K 5 4 I 7 k p V 5 P p / R I T L H + e / 1 J f a T C j E / p i / z J 6 z v k G h d Z r t 7 v h U n + 9 x b X 1 X 8 P d I W 0 d Q H P a / H I D h l / / u N i D 0 O 5 / b 3 B m 6 w t f b Q F i 6 1 9 / 2 g D L 0 r Y N i G t 9 9 Y 9 P H 2 w / J j e L B i w a y o R c e f n n L T p 2 u T g K K B S e c l i l O P 3 b 6 9 H r v Q K 5 M q 2 V e H q z L h t N 2 l a b b D R + W 2 m y + i W g b 4 q 4 Y 0 7 N Z P y w H 0 F 4 H E i P w / U 4 a T X O T H h c K j 0 O V 2 K l p T s L 4 X G Z 9 D h c C 5 T W + R w J j 8 u l x + F K w V 5 B 7 o H w v E J 6 H i m z 7 t W J l 6 Q x l B 5 I C m J 7 R c 8 l e Y y k B 5 I i 5 F 4 F b 0 k i Y + m B p P C 7 V 1 h e k o n L X K L Q u B S r X 1 1 Z E o u R 5 w g p q O z N E k k w R p w n t I y 1 V 7 d W E o 0 R 5 4 o h Z Y v 9 Q r f S I 8 X 5 Y k j x X K 8 y r i g e c c 7 Q 8 t p U P K k o H n H a G D x v U i q e V B S P O H E M n j k p F U 8 q i k e c O q T s d 0 r F k 4 r i E S e P w b M n p e J J J f G A O H u 8 / B G c Z 0 F P L u F z W / S w G j 6 o R 7 P I c A 4 d z R z E e Z M 0 W x T n y t I M Y Z w f T b P C c U 4 8 P Q m A z 0 H Q 0 x / 4 7 A s 9 8 Y P P O x F e I V Y R T i F G E T 4 h N h E u I S Y R H i E W E Q 4 h B h H + I P b Q b 9 l I G c j o 0 e C x Y t J J n k m T H M Q 1 m B S 1 z + g k z 0 R T R b Z V 8 B q c e d a K N M l B X I M B r 8 E Z n e S Z N M l B X I M B r 8 E Z n e S Z O M n F N R j w G p x R 8 e S i e M Q 1 G P A a n F P x 5 K J 4 x D U Y 8 B r s F a H P R f G I a z D g N d i r W p + L 4 h H X Y M B r s F f m P p f E k 4 p r s L 0 T h V V L h b Q U 3 g 8 5 2 R f j o f m P D O Z q d 0 S 1 5 O n 2 m R p E N X l w b b M z U l R g k i Y D M o i x v Q 9 R S A S U e 9 w 2 V S F F J T J p Z h y D d / v m 8 1 4 H u M u J U 4 6 v 7 U f 7 F F X 4 p D l i D F R v z + P L W o 6 v 7 e f r F B U o p d l S D M p w z + P L W 4 6 v 7 Y f c F N V X p X l D D E B y z + M r W o 6 v 7 S f N F J W H p R k 0 D L Z z z + M b t h t f 1 j Z x P E X V b W k u C Q N L 3 f P 4 h C w S e Y B t v 7 F l q D g v T a t g I L V 7 H q C Q U C H 3 t + 3 X n w z v 8 z T F g M M D 7 3 m I E i a K 3 O W 2 y b U Z K j X t A Y V w a O Z 9 j 7 G t M Z O 1 B r t D x o w H m 8 F h s f c 9 x r b W T N b W m s m Q N e O B S H B I 8 n 2 P U U j y l 7 v c 1 q L J k E X j Q S p w O P h 9 j 1 F I e Z e 7 3 N a q y Z B V 4 w E M c C j + f Y 9 R S A C X u 9 z W s s m Q Z e M d t + d q E P Q 9 R i E d W u 5 y W + s m Q 9 a N d / i c q 6 D Q 9 x i F 5 G A Z S L K t h Z M h C 8 c 7 i s 3 V f + h 7 j G 2 N n L y t k Z M j I 8 c 7 m M x V r + h 7 j G 3 t n L y t n Z M j O 8 c 7 p s v V 3 u h 5 j N I R X b n L b e 2 c H N k 5 3 q F V r n J I 3 2 N s a + f k b e 2 c H A d t 4 l G b 3 u 0 c 6 f i m 3 O X W a L f I z v E O N H J V W / o e Y 1 s 7 J 2 9 r 5 + T I z v G O 9 3 E 1 Z / o e Y 1 s 7 J 2 9 r 5 + T I z v E O u 3 E V c / o e Y 1 s 7 J 2 9 r 5 + T I z v G O f n H 1 f v o e Y 1 s 7 J 2 9 r 5 + T I z v E O Q n H V i v o e Y 1 s 7 p 2 h r 5 + T I z v G O B X G 1 l v o e Y 1 s 7 p 2 h r 5 x T I z v E O y X C V o v o e Y 1 s 7 p 2 h r 5 x T I z v G O j H B 1 r v q O + X c 7 L i I d p g i x x o 7 0 H H 1 K 3 g 1 1 Z 8 w G T o E 4 N P / y u T W G N l T n L y 9 5 o u q k S L o j e s Y T W Z p s R / N K p M l j N N X L t v 3 + 8 t u / f L c 9 l n L + 6 v s j J U O 7 Y W Q 0 X x j P 0 d d 7 j 6 0 h M A i H J s 5 W 0 L A V F G w F B V u h F 7 Z 2 A 6 l o 8 o v O U c K E x 9 Y Q G o N D E 2 d r q m H r h i j M 1 1 T B 1 7 Q X v n a D i U j J K p B x f A 3 h I T g 0 c b 5 m G r 5 m C n X N F G z N e m F r x y I x K W Z r z r E 1 B E j g 0 M T Z m m v Y m i v Y m i v Y m v f C 1 m 5 A C c 3 3 + H O U i u W x N Y Q I 4 N D E 2 V p o 2 F o o 2 F o o 2 F r 0 w t Z u S A V N G s A 5 y n 7 z 2 B o 6 k u / Q x N k 6 1 L B 1 q G D r U M H W Y S 9 s 7 Q Y V 0 G Q f n K O E Q 4 + t o T P x D k 2 c r S M N W 0 c K t o 4 U b B 3 1 w t Z u Z / W b p I d z l O P p s T V 0 K N 2 h i b N 1 r G H r W M H W s Y K t 4 1 7 Y 2 u 2 w f J N r c Y 4 T a 3 2 H I H Q u 3 C V S u A Q D l U 8 w 0 D g F A 4 1 X M O i D u 1 K O R 1 w o m L u 8 u 6 X y t 3 Q O l 8 7 j U r l c K p + r F 6 d L S j C J C w V z l / W 6 g v U d X C I F d 1 W O l 9 F 4 X k b j e p l e f C 8 p u y U u F M x d 1 v k K 1 l l w i R T c V f l f z Q t j 3 N U 4 Y K Y X D 0 z K q 4 k L B X O X d c G C 9 Q 5 c I g V 3 V V 6 Y 0 b h h R u O H m V 4 c M S m j J y 4 U z F 3 W E w v W H X C J F N x V O W N G 4 4 0 Z j T t m e v H H p F y i u F A w d 1 m H L I j / 7 x I p u K v y y Y z G K T M a r 8 z 0 4 p Z J W U x x o W D u s n 5 Z E I f f J V J w V + W a G Y 1 v Z j T O m e n F O 5 P y p + J C w d x l 3 b M g H r 5 L p O C u y k M z G h f N a H w 0 0 4 u T J m V u x Y W C u c t 6 a U F c e p d I w V 2 V o 2 Y 0 n p r R u G q m F 1 9 N y h m L C w V / Z G B 9 t S A + v E u k + M 6 g 8 t V A 4 6 u B x l e D X n w 1 K V s t L h T M X d Z X C + K 0 u 0 Q K 7 q p 8 N d D 4 a q D x 1 a A X X 0 3 K k 4 s L B X O X / 0 K m + k S m + 0 a m + 0 i m + k q m + k z W i 6 8 m Z e j F h Y K 5 y / p q Q d x y l 0 j B X Z W v B h p f D T S + G v T i q 0 m 5 g X G h Y O 6 y v l o Q P 9 w l U n B X 5 a u B x l c D j a 8 G v f h q U l Z i X C i Y u 6 y v F s T x d o k U 3 F X 5 a q D x 1 U D j q 0 E v v p q U D x k X C u Y u 6 6 s F 8 b R d I g V 3 V b 4 a a H w 1 0 P h q 0 I u v J m V i x o W C u c v 6 a k F c a 5 d I w V 2 V r w Y a X w 0 0 v h r 0 4 q t J O a B x o W D u s r 5 a E F / a J V J w V + W r g c Z X A 4 2 v B r 3 4 a l L 2 a V w o m L u s r x b E e X a J F N x V + W q g 8 d V A 4 6 t B L 7 6 a l P c a F w r O X G J 9 t S D e s k u k S F 5 S + W q p x l d L N b 5 a q v P V x E T E p K M f U X t p l x t Y z C 1 P R e x V J x T x 5 s T 5 B e h X i n 5 l 6 F e O f h X o 1 x D 9 G q F f Y / S r x l 5 1 v w N W a K r u l y t 8 G 3 e o w V 5 1 o 9 n 4 N u 6 U w b 0 y u F s G 9 w t w v 4 B w C X c L c L c A M w p w r w D 3 C n C v A P c K c K 8 o 9 m q l 8 T v o V V m j 2 m b 9 N m g t r + a z 2 + T 1 / P 6 X y X J Z z s p P K v W / Q 6 W q J S q u U m 0 P k z W g n K / W X Z a n z z 4 p 0 / 9 U Z X r 5 S q N M b U / t N Z C s z 3 b Q y p + W p v 8 l 2 u Q A j X M g Y w j e G 4 M d h 5 S v B j 0 + 3 0 F n X 2 2 Q p G f l j M H O Z o D F d l e X 1 z 9 P 7 1 Z J W W F z z 8 u f y t n N 9 t 7 z 0 s M 7 Z u C 7 W G J g i V O e O G W J M 5 4 4 Y 4 l z n j h n i Q u e u G C J h z z x k C U e 8 c Q j l n j M E 4 9 5 g Q 0 E q Q x 4 c i O Q 8 1 I 0 g h g N L 0 c j C N L w k j S C K A 0 v S y M I 0 / D S N I I 4 D S 9 P I w j U 8 B I 1 g k g N L 1 M j C N X w U g V B q s B L F Q S p g j A 3 p c n J S x U E q Q I v V R C k C r x U Q Z A q 8 F I F Q a r A S x U E q Q I v V R C k C r x U Q Z A q 8 F J N B a m m G G P C / Y F Q C 9 D x f n Q O H h 0 Y R y e r 0 R F k d F Y X g 3 f g L m D g K w w R h c G U M O w Q B u j B U D Y Y 9 A X D o + A D t v g o K u Y H h n H A g A c Y G g A f o s f H z f H B b H y E G f W F n v i j X + B I + A f / J E F 5 E k U m Y U 8 S p y O B J Z p h T L t F s z h p 3 i H N l K O 5 X T Q b i e b P 0 I w P m k 9 O v 6 r T 7 8 C U b / R b G / 0 6 R L 9 n 0 A g 8 j R n T K C f N o S D 9 a 8 R a m 1 E P k 4 m 1 c m 7 s L E 2 O d 1 U o n r 5 8 / q S i e D 5 d X t 9 P p g / l o v 4 1 t 9 Z T u a g m r T W 9 K l P q 5 / n 8 p 5 u 7 + e L d s r 4 + v 0 1 K a y 9 B F c + q r j 2 U Z V 0 B 4 5 t q l t e 0 1 9 b M m 8 x u r G 1 W P 3 C 7 D D z U d U K c u h z o 7 v t N u R F 0 c W v Y S Y 0 e t j V B J I K 6 i 8 t N 6 Y 9 6 Y X r 9 1 V e X T x I n 6 l Z f e v U k 2 X q 6 y e q s 2 h C T t 5 P J w r m 9 M T X r B + 7 b V e V b 9 v V i 6 p Y G t X w m t H z m d + J Z u B P P Y u + 6 9 B 9 5 G X 7 k Z f C R O y Z u R b 2 T 8 n R m m b 2 + X p V r q 0 9 7 9 X i y I 7 i Z L q a 3 5 W z F 3 1 1 N H q 7 m V v 8 e J t P V o u R p q r o 5 l f K 5 7 / 6 / l o v z d 4 l t U 1 V + m d w v k + P t 7 b r h 6 / m i a b j 6 p d y r 2 + L O E m P C 6 k H r 6 e p u / t A 4 D D f l P x O K r 3 e N j X g H y J 2 v 6 u l w V S 5 X k 8 m q e n 5 y e n q a V D N x V j 5 U V V k w u c 9 J / / a W j 8 w t y k R E c f z 1 s 7 3 K 7 i a J 7 Q H 2 j h x a x k G q r / t T L e H u T i z X 5 9 u F J z m 2 a 4 L 9 y 3 b r r l z / 3 b 7 3 Y X 5 b x 8 A 3 Y t p V F q l X O L d w R 3 M 0 i u k S B L s E 5 L l e U Z U N d L z / 3 D T 4 X I z L b p p M d / T c V H h u F n x u R p 7 r V U T Z I L 7 7 z 8 2 D z 8 3 J c 0 f e c 8 f C c 4 v g c 6 X e D I O t S B 2 Z 5 v u 9 2 5 s 8 F 5 4 7 C j 5 3 J L Q a B 1 t J I z e D s L Z L m m M i s 8 R I 7 c K q 7 N 7 m / E 6 x n a S J J q y K 7 m 3 O E x X b S b I z Y V U y k i 6 Z s D I Z a W U w Y W U x k r a Y s L o Y S V 8 g r C 8 g 6 Q u E 9 Q U k f Y H I 0 i f p C 4 T 1 B S R 9 g b C + g K Q v E N Y X k P Q F w v o C k r 5 A W F 9 A 3 E n C + g K S v k B Y X 0 D S l z S s L y k u P A V + A a Y N B y 5 e 2 A d M m i 2 9 r j u 3 M S i T e 6 c g H R P 9 r N v d b F + 8 b 0 l q u I F X A A k 2 F Z D E B 9 B i V F 6 d p 0 0 l I f E B p P S U V 0 o F M l J J y t s o I S v C r 6 A P 8 P q Y j Q i F V / k r J x L y q p R A H m F U 4 6 X v x b T 7 u S k 5 W P 3 e 1 h i s L c l t 9 U H S r n l m M r P e T D J f W w M r s U 7 W 1 q Y / r W 1 2 h N B U X 5 l W d r g l r Z y 2 n d o 1 / b o t 3 6 4 X l a m W V F U V 5 4 v K r F 7 V T t T S j s N S L 5 Z e l c k t G 3 L K p w K z q a B c K p z A m x 9 2 / 7 H A y l B Q Y 6 H I w 8 1 x J Z m C y r k Y h Z v j e i z D A W k + D H 4 z + H G I p 8 K Q K v I w C z f H d t u Q m s X D Y b g 5 V u E h l c x o E G w + w g v B i B q 5 o z T c H E + x E Z 2 i o y L c H F u J I 2 q y j s b B 5 m O s d W O q d e O w 1 o 2 x 1 o 2 p 1 o 3 D W j f G W j e m W j c O a 9 2 Y 1 D E c U L U z g 7 D e m Q H x f A Z e s c Z B W P X M g P g M A 8 8 n G 4 S 1 z w x I e c e B 5 3 2 Z s A I a U i n R G M / P M m E d N K T k o P F r T J q w G h p S u 8 8 Y z 3 c y Y U 0 0 Q E p I e g U f D Y S V 0 Z A 6 Y A Y 8 j w n C + m h I Q S 3 j 1 V 4 0 E F Z J Q y p T m d T T y T S i k y n 1 x j 2 d T C M 6 m U Z G m U b G k E V 6 m E X e n 1 H P 1 e N B T j Q 2 9 z Q 2 J 7 L M v X m V 0 7 d 4 8 4 Z s q a b w 3 k J 2 T V P 4 t V U 5 8 1 o b r r G d 4 q x l f f P i k G C R b c 7 5 I i 2 a E w 4 X 3 p w u O K N e / 4 I h E d D Q m / J D z n t r 8 Q I i 3 6 G 3 I g w 5 t 6 v F C 8 i C M f Q W j O F h G j A k 6 8 n I m 0 u j w 3 R k R J a b k b f c j A 7 T o h H Z I U f e T B 5 x r m i L F 5 A N d O Q t B G P O h 9 S / Y E x W q 7 G 3 j o y 5 Y E G L F 5 D t d + w t Q + P D l q E x m c l j b y a P D 5 r J M C B O 3 s B z 8 g Y H z W Q Y E G d 3 Q G c y D A 6 a y T A o y A s 8 V 3 d w 0 E y G A Z 7 J Y O h M B j Y k q n 8 B r W 7 t V R 4 H N p b Z 4 g W k i r S h M x n Y I G S L F 5 B g g l 9 G n I 0 e 6 l 9 A 6 t k C 0 J k M b N i v x Q s O 4 z C p v g p A 5 y m w Y T T 9 C 9 h o W o v m Z B a m 3 i x M D 5 u F 6 U H r H K R k j m X e H M s O m 2 M Z m W N e f V z I S c j M K 3 c L O V l p v O q 1 k J N 5 4 J m 2 Q E x b 8 M J F U J C e F l 5 P C 9 J T z / g F E h U C L y w E B e l p 4 f W U 2 H j g 2 X h g b b x t 5 d 1 v J n W C q x X H 3 T b b 9 b b 8 Z f r 2 7 9 P b m 2 T k J r t W c t s n u / K 5 s S f J h w 9 H 3 5 T l w y p Z 1 4 H F + q N 3 l S Z x O 1 l N m 7 S L 5 9 t f R x + r r N j X V u y z 6 e 1 0 d r u c r R 8 2 O R 3 2 4 u l s c X r 0 c d v N 7 + t T S c l 0 W b 3 v f Z U h M n P 7 9 u 5 + c l 2 + n t y v y + P o k O z j X 0 2 q f / 9 m / 9 k 0 X W y f 8 V 3 5 t 1 X V q 3 0 n T 7 Z f 0 J s I 5 D b a W I U a K x / s p v x p e v 9 f / 9 k M D A d S Z 9 W Y n E w O J 5 a + u K s u r p Z W I s u j w B i T s T h K j i P 2 J Z b 5 1 X / / 2 K H F x 1 a r S 7 J 8 d z 9 d V V 8 A 5 u 8 S 2 7 y c 3 l T P W Z V 3 r j Q v K 6 J d g j 7 P F N u l 7 8 v 7 O x I e r t S r b m 1 f 3 T y m G v P 5 r 3 b E 0 4 e p v X h 8 d H L 0 p O L B 1 5 O 3 p 7 v U k 6 S K K V f / X 0 3 f 1 o O v G V N R v K q j 1 9 7 t k M C M K L A 4 C 0 7 Q 4 b q g f k Y G E O o h t F G p 5 p t L w w j L v G i X I h w L T U 1 5 r e F H U a 8 1 m + y o T e J I k 5 I 1 L R s R N u k t y y 1 H P 6 q W v F T u R r D z u 9 6 8 Y n q T O N + v d t l N 2 2 v 1 K h h p C U x L 2 L d 8 F n m n k z L l v T X Q F t i 2 + / c + k z j / 7 H o x v 7 J L j F V w h / / b V t w 4 a a u 3 a 9 q K 6 y d t N d k f 1 9 m 0 q 6 r O n 1 t d t N P r Z v s t c v 7 u t j q Z U e 9 d 7 p O + f U e v J t P Z T X g T w v q i 3 4 Z S 7 T a 0 W V b 3 G W f B u Z 2 1 m t u p d s O Q O x E c Z N Z u S m e b S X Q e E p l z c s a V m X t Z N 9 H z b h N 9 2 8 u N L t 4 u 5 u W 7 c n a S r M r J w / L E b p v L 8 s E + s 9 l A 1 / N / q j X r R Z z q 4 0 d 6 6 G h Z 9 W J z g m j f 1 y / m D 1 f T m b a z l X 3 5 4 W i X Y N u s B j h P G q d J 4 y x p n C S N c 6 R x i j T O k M Y J 0 i Q / 2 k 2 P t r N 0 M 6 D F d m T M l n 2 S / N t 6 v i o v V 7 9 a B n w z n 5 V P 9 o + p E n B D n H M 3 Z I 9 3 P K 8 r l l 2 W 1 9 Z C 2 r s o p t m c 8 U X g L q b c x Y y 7 m H M X C + 7 i k L s 4 4 i 6 O u Y s N 3 7 2 r B 7 G / e d o y z H t o y / t a Q T / s 8 v y X 1 5 N V e T t f E E k E 7 6 O j C B x B G i P I Y g R 5 j K C I E Q x j B K M Y w T h G g M + O s B Q H K Y D / 5 C P N s l s o X E q i Q 8 2 u U M c P 5 H 1 h n z N c R x u e B e 7 r 9 o d h x / 2 h 2 P S 3 z q 2 R + y s l R L m 9 d 2 k a g + b r + l j E O t k c i W j 6 M J n N 7 d Z y N 7 G D m 9 1 Z t 2 L + U 3 K 1 v r d C v l r f N Y Z w R Z G U q + v T 5 i l f 1 W n k 5 S J 5 V + / C 9 s / Z m W 1 0 N y 9 r z + S h s Q j + z N 0 M G 0 P D b s b Q U G c M O c O Q u x f o 3 a i V c T T U G U d t O v V 6 f n 9 b 5 S w p H K C K b B E 2 l 0 b 1 U u l m T m 2 j J i f b I w m 7 0 A q O u / T o 9 x / m S P t O G u c g c a 4 P 7 9 T w 7 o r k k E g u h + x U B J y E b a P T 3 f O r 6 9 P 3 7 p 3 t G / w 7 + 3 c 4 9 z i 7 W 2 d M x l Z A w X A m 8 Q c f n M U F 1 8 D Y C G I A 6 C T Z m s r O I m f Z u l 5 x t z f p h d z 9 n z f p h t y 9 u 2 3 6 I b r J L q P 2 + n f z 1 c R e 3 i z J d f p j f d y l j i r Z i V b N T j d t N T m u z x n l d d L i E 7 K g i p O + f p H V E D s q O 2 n O 5 u / s K + 6 m 2 z D d y 9 n f r Q L Z n 0 9 f P t / / r t N v a 2 7 a P T X 5 y z v 7 u 7 z Z T + f N C S O s D s w Z I 3 I 8 K X T K i J C y 5 4 w I D T p p J N 4 D 7 1 7 8 t B F p 8 L 1 d B O t E 0 O 1 u t z 0 W W I 3 l o b y 2 G l F N 0 O 2 Q / t V x L u 6 3 2 t w Y q b y 5 o j I D x r I Z E F v O G z s g M g 9 V h s q f r N T r F 6 x + f V f v A v v + O e 7 N d 3 Y 2 L n + y w m 6 6 + J 2 l j V o r 4 4 0 3 K y 9 D L 2 e r I j u t H r a x H c h 6 T e 4 z q 3 e Y A n w K d m W P 0 X D P 4 V f 9 A J W z B w S o 0 I 5 A 6 O T 9 g X s g t 1 v w d P 7 e Q e h U 2 w J 9 d l A 3 h Z H h H Y M Q X c q K 4 e 0 m g l 6 E Z C 0 O Q d h c A s T M V s N T c x s P T 8 l u Q 4 R U 2 J Q I V W C L I p S q D Y u d w / q V 2 G m + X Z F e l M v q v E i 1 1 i a L 6 V v 0 / c b e O I 6 s W f W i g / e 8 b y u L 9 / R 5 u b x u N k Y / I O Z 8 a U x l F B 6 / Z 9 W Q 7 x F u w W t y B P 4 e 4 R g 4 d w H d T c n d F N 3 N y N 0 M 3 c 3 J 3 R z d L c j d A t 0 d k r t D d H d E 7 o 7 Q 3 T G 5 O 3 b v b o 7 y u A f w F V s O R L c c X m S 1 0 B 1 / p X 7 y y v p R 2 + / A G + c F X / c 9 G X x f N r I w H b G 4 y J T A u l i 3 r I y v 1 f S h u U 8 M M p 9 A t t B w N 6 L m G u G K 2 n b z X x M x 5 H C D g F U n E X o m H i b s Y L 7 t H / D x y W e f T W d W E 6 O 6 + I f P P l v + P L H s T K q M h y u r x T f 1 y j a 7 s V p 6 X 6 5 + V z / k f G E N 9 s + T L + d V X O T 0 y 6 n d F 4 + P v v j n v / 5 l a d e 7 v 6 7 e l l d X 5 V + / n Z X P F 9 P 3 Z f I 0 + d K K p 6 o k 3 x h 3 L 8 q q 2 b J M L r c L + + 3 0 v j H 5 d 5 e q p S a 5 X J 0 m f 1 p f l Y v V e v n X F 3 a b W 1 g 5 P E 1 e f j e f r X 6 Z 3 t 1 Z V Z 3 d / v X l z I 7 b N n h f a + p f r 5 f v k 0 2 X 7 a / z z f Z q N e S n n + r g d j O C b y b v p 7 X 7 b u w 4 q u F 8 G H z 8 4 Y t 5 t S u u 3 v z O M o u S 7 R n z 5 8 n C 2 o C 2 j 1 V T j 0 v 2 z i T 5 4 e V y R / V v 6 3 L x 6 + e r x b o 8 S c 6 n s 8 n i 1 5 e 2 Y 6 v p T 9 a a + Z w 2 P 0 m q O f T 5 U U N Y T S z y o H 8 v / 2 M 9 t b 2 o H / h m 3 6 k G b R b 1 Z L V d T a r Z f s S I 7 4 v l + 9 P n 8 + v 1 Q 4 U w U A n x d M M A K 8 y z W p R n j S j N 2 c X 0 a m E 7 d P b F / X x 9 c 7 m a L y a 3 5 d l W w E 9 3 4 r X S 3 Q q X y L a c u Z K 1 g t 3 K 9 R i e n E m i P c O i P Y M B 5 G d I v m d E v m f n L / 9 4 U Z G d W r I q O e G H X e i 1 w q P 7 w 1 E V o a 3 3 N v s z H c J J 8 s f Z 9 b x a x + z v I h 8 M j B u d t d d I q P b N V n + q a T S p B l o J v F p Q 7 d y t j + a 9 L y f r / Y r + 5 8 X 8 w T 5 g Q 3 t c M d 7 2 a X P 1 2 f 3 9 5 f X k f r J Y N t J 8 s t e 7 8 O O t 2 H 9 I v l z P r D s 2 n 9 V q c T 6 d b Q Z x 9 O H o q P x b + f D O P v d L K / z 1 / a R y W Y 6 O / v k o p i J H H 4 + S N 3 u F O p f 0 6 P h J 8 v m / f N K m 3 5 A 2 y Y u I Z a i 7 d H x a + K u V G G x T i V f t 1 n / h K Y + 2 D V B 5 f p q 8 / / M n 7 y N s B b W a a L a D r T 5 9 2 h J + W 1 r 1 u 8 9 + t 5 X 8 i 6 9 e v 2 x W j P 9 2 o m 0 j 1 4 L I t R p W / U 9 1 j x f m C R K m y Y c d h P l 4 s h T D O X I w J 9 S L y s f 8 Y 4 U m d j + 5 W T T B d E j I h f 8 u 4 H m X U q a k A v J O S p e M w u F t C f j G V W b k y y q W P L 1 Z 1 4 n 6 T o D b h T Z s K P 0 U U Q a 4 R a C 8 2 i Z B v J / f 3 1 Y f m u f v b i f v y + b T V H N I o f k U u j 2 g 4 N 7 5 0 T u 8 g O 7 S I x b 4 g A U 9 X o E P V 9 C j F f h g h X e k k Z y c 9 c / K 4 / v e o U 5 y 4 t A / 9 4 z v e 8 d a y Z l L 7 9 g H O f X h 8 Y 2 C 3 9 D 7 9 B Q N v U 9 O p n g H U 8 i 5 F N o / A h v k g f e Q Q / j e G f w U 9 y + l / U t x / z x s n + Y I P o Y O j U O N / m O A L / e 9 p l z L M N c y y j V y O s o D J C J 4 R B 4 c U Y a 5 5 q E N E b A h D 2 u I Q A 1 5 S E M 5 7 p 9 3 e I u c 3 f K O b p G T W 9 7 B r X z U Q 3 Y N t y U x I e O j a v M 9 O t l i F t 3 h z B v / E B O T g 9 M s k V b L T u t Q 8 3 6 V N P u 7 u 0 y K a o C J C T Y D q R k E m 6 V S s z T Y L J O a Z c F m u d Q s D z Y r p G Z F s N l Q a j Y M N h t J z U b B Z m O p 2 T g s 7 o E o 7 0 G 4 o a w o Y U 0 x o q q Y s K 4 Y U V l M W F u M q C 4 m r C 9 G V B g T 1 h g j q o w J 6 4 w R l c a E t c a I a m P C e m N E x T F h z Q F R c 2 B w 4 D E r X T 5 L 9 M D V 3 f 1 k u Z y W d / 7 J n + j Z q O Y B Z v 8 I 7 x h Q 9 J B U 8 w g I P S J 2 W s r r h X + s K H 5 s y u s H 8 x D x / F T T e I I z R O I H q F A z / Q k q 1 M z t Z v x b 8 E H J R 0 d O F o D 0 X X a z 5 e I v i 9 7 + u / s c K 5 4 o b v d N O b h N 4 5 d J e z Z N + w j t 4 P E n M s l N w c 0 9 / s S 0 x R M z 1 R O z F k / M V U / M W z y x U D 2 x a P H E o e q J w x Z P H K m e O G r x x L H q i e M W T 6 z t D 4 W K D 9 o 8 U z l t 2 s w b o 5 s 4 p s 3 M M b q p Y 9 r M H a O b P K b N 7 D G 6 6 W P a z B + j m 0 C m z Q w y u i l k 2 s w h o 5 t E p s 0 s M r p p Z N r M I 9 D N I 2 g z j 0 C a R x y t N D 8 4 W k n v O V p J n z l a S U 8 5 W k n / O F p J r z h a S V 8 4 W k k P u F 1 W K V 9 x T S N 0 4 j p F 6 M S 1 h 9 C J 6 w m h E 9 c I Q i f O e 0 I n z m V C J 8 5 P Q i f O O W L O M P P o o J w + S 3 E 0 u 4 9 W 0 u a r i g Y M 5 p N 9 9 m W l G r u q 5 L 8 X L M m 6 G n h d 5 v u z b 9 Y P V 9 U B t P l 6 d v N 8 / s v s + P m 6 + g 4 1 n 5 0 + n / y 6 P P 4 B m 8 V v n u 6 e y R q y b 5 6 c p U X + p K k a P t D V Y 2 9 Z Q 7 U a L K r R t R v t j g V 1 d X U z 2 t Q x t 7 1 1 y 6 s 7 V G K h d o e m q o h u 9 k / a l m C v / n 4 V F W S 3 i u i u O C E u T n g s c U I n c Q p j D v D o h K A H e A I F l U B B I V A 4 U K B C Q f I o S x y J p n G J p o 8 l 0 b S T R N t W Y f c R I D y J p i q J p g q J p n G J B r o q V A O P M s S R Z x a X Z / Z Y 8 s w 6 y b N t C X Q f w 8 O T Z 6 a S Z 6 a Q Z 3 a Q P I W C 3 F G G O P L M 4 / L M H 0 u e e S d 5 t q 1 C 7 q O w e P L M V f L M F f L M D 5 J n 3 k m e 6 J B M E Z d n 8 V j y L D r J U x h 0 g E k n B E f H k 2 e h k m e h k G d x k D y L T v J E x 5 q G c X k O H 0 u e w 0 7 y F A Y d Y N I J Q U L y 5 D l U y X O o k O f w I H k O O 8 k T H U Q b x e U 5 e i x 5 j j r J U x h 0 g E k n B M v K k + d I J c + R Q p 6 j g + Q 5 6 i R P d H R w H J f n + L H k O e 4 k T 2 H Q A S a d E D Q y T 5 5 j l T z H C n m O D 5 L n u J M 8 0 W H P O i g f i y g M H i 2 k M O g k U m H c A T 6 d U E g 5 P 6 w w 0 M U V B p r A w u A g s d o O d p E r O q Z r N J G i x w s V d Y s V S Q M P c e o E o w N y k l V G j F Q h I 0 X M K N T f b i G j Z p i 7 P i i i R u b R w k a m Y 9 y o d e A I R 4 4 M G z o y u t i R 0 Q S P j C J 6 F O p v x + A R i h 4 Z R f j I P F r 8 y H Q L I E k j D 7 E K i Z a N I R l d E M l o o k j m s D C S 6 R Z H M i i Q Z B S R J P N o o S T T L Z Y k j T z E K i R a N p x k d P E k o w k o m c M i S q Z b S M m g m J J R B J X M o 0 W V T L e w k j T y E K u Q a N n I k t G F l o w m t m Q O C y 6 Z b t E l g 8 J L R h F f M o 8 W Y D L d I k z S y E O s Q q J l g 0 x G F 2 U y m j C T O S z O Z L o F m g y K N B l F q M k 8 W q z J d A s 2 S S M P s Q q J l o 0 3 G V 3 A y W g i T u a w k J P p F n M y K O h k F F E n 8 2 h h J 9 M t 7 i S N P M Q q J F o 2 9 G R 0 s S e j C T 6 Z w 6 J P p l v 4 y a D 4 k 1 E E o M y j R a B M t x C U N P I Q q 5 B o 2 S i U 0 Y W h j C Y O Z Q 4 L R J l u k S i D c c c U o S h 4 t F A U d A t F S S M P s Q p l R L D B K N A F o 0 A T j A J F M C q c F d E t H G V Q P A o U 8 S h 4 t H g U d I t H S S M P s Q o J l 4 1 H g S 4 e B Z p 4 F B y a w w T d I l K A I l K g y W N 6 v E S m b h E p a e Q h V i H h 8 s l M y m w m V T r T w f l M 3 W J S B O B S E Z O C R 4 t J Q c e k p t Z Z T T g m B W x M C n Q x K d D E p E A R k w o L t 2 N 2 E 8 Y n V U S l 4 N G i U t A t K i W N P M Q q J F w 2 K g W 6 q B R o o l K g i E q F h d s t L k X g Z R V x K X i 0 u B R 0 i 0 t J I w + x C g m X j U u B L i 4 F m r g U K O J S Y e F 2 i 0 w R d G B F Z A o e L T I F 3 S J T 0 s h D r E L C Z S N T o I t M g S Y y B Y r I V F C 2 3 U J T B N t Z E Z q C R w t N Q b f Q l D T y E K u Q b N n Q F O h C U 6 A J T Y E i N B W U b b f Y F E H m V s S m 4 N F i U 9 A t N i W N P M Q q J F s 2 N g W 6 2 B R o Y l O g i E 0 F Z d s t O E V w 1 R X B K X i 0 4 B R 0 C 0 5 J I w + x C s m W D U 6 B L j g F m u A U K I J T Q d l 2 i 0 5 h V P x U E Z 1 K H y 0 6 l X a L T k k j D 7 E K n e 5 g o 1 O p L j q V a q J T 6 W G p U m m 3 2 N S m x E H V 7 8 3 4 L q b L 1 e k X V l S r 4 / r P y / K + v F 4 d f / h h H 4 R 9 c 7 L / A e 6 P 1 P 2 R u T 9 y 9 0 f h / h i 6 P 0 b u j 7 H 7 w w z Q L 9 u H x P m J e m F Q N 0 y G S V F P D O q K Q X 0 x q D M G 9 Q Z Q b w B z B N A L A f U G E F c A d Q Z Q Z w B 1 B l B n A H X G a s 7 H j f B + t D r Q S P P J k 4 i + t A 3 6 b C D o K k 3 8 p C n 9 a c r / Z 0 V 5 F V e U t g G k B p y w X r 4 + K c p v R l G e N Y o i 1 R R y V h M K Q x v S r C h e k A g R F A Y F E n G A w s g / I t h P G N 5 H R P Q J Y / i I s D 1 h o B 4 R m y e M x i M C 8 I Q h d 0 S U n T C u j g i l E w H P k f F y I g g 5 M i h O B A Z H R r 6 J Y N 3 I 8 D Y R Q B s Z w y a C W i M D 1 U S g a W Q 0 m g j + j A w 5 E w G Z k X F l I k g y M n h M B C 5 G R o h B m B E Y U w H h D + D T + e g g O z 7 m j c 5 E 4 x P D 6 H g t P n y K T m r i c 4 z o 0 B 8 + E o f O j + H T V e g o E j 6 o g 0 + 1 k B M f + G g E O T S A k + t J 2 j l O z y a J y z j B l 6 S + 4 h R R k j y J k w x J + h 1 O U y M J X D j R i a Q A 4 V Q Z k k S C k y 1 I G k I E R U g G q 4 l A C s n o N R F 8 I R n O J g I 2 J O P b R J C H Z M C b C A y R j I A T w S S S I X E i A E U y R k 4 E r U g G z Q n G H y Q 7 A W c C k G / k T K l E / A E d f 2 Y m H 2 D x Z 0 r y A Q 9 / 5 i I f g P B n E v I B A c f Z S Q Q a B 2 p J C B N H + k g M D I e K U B B F V T Y Y G Z M Y Z p W 3 P W s s z E 0 Q Q 6 o N + w + o B 7 z p i I T k K p Q S 5 R B b B V I O m T X + 1 F D F 3 R D S q k B M k V X D Z L F + + s i p u G T q i Y s k F e Q + y F o T L 6 e 6 i W t I B Y M b a N T G p Z X r P e 9 U T H R 5 E i H q E h n Y y a 7 U d T W N d t V s a w f t B 0 H d 3 v y f H 0 T 9 2 t 1 j F I p r t x 8 q 1 5 K 5 S 3 S E X v f e 5 W m B v f N 7 a S a 7 9 6 i g 3 H u + g N 5 E 5 d M 2 2 N H 4 o n + y G 0 M l P K t Z 2 5 c S 8 f T A T J 4 5 8 i A P K k I b 4 l A z Y a I 4 w X 3 X 6 N a X W e f m C i H h J c b U a u Y 2 H J C D H U G m M / D L i k 0 p j Q q L 7 2 M t p m + j R X 1 7 g f i L o J / j H Z 0 U k A g O n a s k g f u 9 K y y h L S M h b 8 / B D T m 4 B U c 2 3 c g 2 K 2 6 s 4 l Y a 2 D z l e S f P t N D c Y m e T M H + I u m E N + v h k X 5 Q 4 r i 9 u T T J S l C 3 5 7 Z U n E 8 r O 6 S q V F R m q V G Y g B 0 2 h s n 7 L l F l 6 t 1 D Z A a j 3 k b J l H 4 5 e l F f z q k p 9 4 5 n t I s I Y T / a w i u U V / 7 3 1 k i z d 9 I 0 x X H x c X Q 3 f g z I J 3 d 5 M w a u N l s z q + e l U D y O j O 9 / W D J v 4 7 b w y Y q S t U 1 S M b u d O h T F 8 6 0 U 5 L 3 + q 3 l f P Y a v r 0 7 u V 8 d m 3 9 Z a 3 3 e G g / l H l M q k D P w L T B U 8 n f A x n r p / + o / x + M v D C q I a a 2 M 9 M 0 0 8 f P 5 r r p / 8 e v 5 8 M v D G q 5 i b 2 s 9 D 0 0 8 e u 5 v r p D 9 n v J w O v j O r K i f 0 c a f r p 4 2 Z z / f T 5 4 f e T g X d G F e 7 E f u 7 r A I Q 6 6 o N 2 c x 3 1 Z e N 3 l M G X x r X 2 5 J 6 q p p I P G c 7 1 1 B e d 3 1 M G 4 R p X / Z N 7 q p p M P m A 5 1 1 N f j / y e M h j b u P 6 g 3 F P V d P L h 0 r m e + m r m 9 5 R B + c a V E O W e q i Y U U 9 W C X f F 9 p W e W f A Z q H J d l l B d 9 1 a R i y m W w n V X t T 6 E N C s I 7 l G p e M X U 4 2 M 5 q N i m u W A c u W C l 3 V j W 1 m A I f b G c 1 O x V X B Q R X z 5 Q 7 q 5 p d T O U Q t r O a 7 Y o r L 4 J L e c q d 1 U 0 w 3 Z b F r D p M Z 0 O b F g Q n W K q b Y L p t i 1 k E m c 6 G N q 4 0 O M F S 3 Q T T 7 V z M K s l 0 N r R 3 p c E J l u o m m G 7 z Y h Z t p r O h 7 S s N T r B U N 8 F 0 + x e z p D O d D e 1 g a X C C p a o J x t S T Y X 0 B z Q 7 G F Z 3 B J W h l d 0 A 1 w Z h C N W x n N T s Y V 0 E F 1 8 O V O 6 t z s p R e l s r N C u 1 g W d j R U k 0 w p l Q P 2 1 n N D s b V k s G V g u X O q i Y Y U y u I 7 a x m B + M K 2 u C y x X J n d R N M t 4 M x O z v T 2 d A O l g U n W K 6 b Y L o d j D E 0 m M 6 G d r A 8 O M F y 3 Q T T 7 W C M G c J 0 N r S D 5 c E J l u s m m G 4 H Y 6 w i p r O h H S w P T r B c N 8 F 0 O x h j M z G d D e 1 g e X C C 5 a o J x l T M Y q N E m h 2 M K / e E S r v j B z g x / b P V v L y f 2 r 5 z 8 c 1 o P X j 6 y u D n p c e o H X X h 5 A H u z v I w 5 s i b z z e H c F o e X E q e J j 9 w p t L m w B I 6 r 9 S 2 l l K w T t S F k 8 U Y G B j 0 P D B o N b D W 4 K j u y N L w y N K e R 5 a 2 G l l r F A Z 3 Z F l 4 Z F n P I 8 t a j a w t B E H q j i w P j y z v e W R 5 q 5 G 1 P X + f u S M r w i M r e h 5 Z 0 W p k b U + f 5 + 7 I h u G R D X s e 2 b D V y K T s q X C F k Q s n g T o w t F H P Q x u x x 1 T 7 z j y 6 c F L A A 4 M b 9 z y 4 c c v B t V 0 h E 7 R E 4 j o F X F C 5 7 x 1 7 0 H J 8 b d f J B C 2 U J m a Q 9 G 6 R m J b j a 7 t a J m i 5 N B G 7 x P R t m B h o O b 6 2 a 2 a C F k 0 T s U 5 M 3 + a J S V u O r y 1 q R Y J W T h O x U U z f R o r J W o 6 v L X J D c / D t w j 2 T E h p f 3 6 a K y V u O r y 1 6 Q X N C 7 8 I 9 V h M a X 9 8 G i y l a j q 9 1 v Z P m L O G F e z Q o N M C + 7 R Y z b D v A t q b L 5 t D j h X u + K T T C v s 0 X 0 9 Z + a V 3 8 Y n M 6 8 8 I 9 p B U a Y d 8 2 j G l r x L S u A b E 5 R n r h n j Q L u e d 9 m z H Q 1 o x p X Q p h c 9 7 1 w j 3 0 F B p h 3 4 Y M t D V k W l c E 2 B z M v X B P b o V G 2 H u M p a 0 p 0 x o Y f 3 O C + M I 9 f h Y a Y d / G D L Q 1 Z l r j w 2 + O O l + 4 Z + h C I + z b n I G 2 5 k x r m P T N m e w L 9 y B g a I R 9 G z T Q 1 q B p j R a + O T x + 4 Z 5 m D I 2 w b 5 M G 2 p o 0 r S G z N 6 f c L 9 w j m a E R 9 m 3 T Q F u b p j V u 9 O Y 4 / o V 7 r j Q 0 w r 5 t G m g d k 2 l t 0 w C y a S B i 0 0 D f N g 2 0 t W l a I w h v j q t f u C d 8 Q 4 H 5 v m 2 a l L d p I j B n r Q d J 8 A 3 c Q e 4 M 1 g C o m 0 P z L 5 9 b p d h Q n b + 8 5 I k q 4 L d 0 R / S M J 7 I 0 2 Y 7 m l U i T x 2 i q l 2 3 7 / e W 3 f / l u i z J 3 / u r 7 I x 0 7 u 0 H l I 5 Y C x 9 I Q F r x D E 2 c p a F g K C p a C g q X Q B 0 s 7 F k 1 E P E 0 5 n o Y g 2 B 2 a O E 9 T D U 8 3 R G G m p g q m p n 0 w t S M w P G J q x j E 1 B H 3 u 0 M S Z m m m Y m i k U N V P w N O u D p 9 3 w 2 P F 6 m n M 8 D S G O O z R x n u Y a n u Y K n u Y K n u Z 9 8 L Q b D D q G A i k 4 n o a A v h 2 a O E 8 L D U 8 L B U 8 L B U + L P n j a D X 4 c I 6 g M O Z 6 G A L Y d m j h P h x q e D h U 8 H S p 4 O u y D p 9 1 g v z H w z I j j a Q j Y 2 q G J 8 3 S k 4 e l I w d O R g q e j P n j a D W 4 b 4 / W M O Z 6 G A K U d m j h P x x q e j h U 8 H S t 4 O u 6 D p 9 1 g r g m E 2 I A 1 + k N Q z i 6 R w u w f q O z + g c b w H 2 g s / 0 E v p n 8 3 n G m C w M Y 7 V C q P S u d S 6 X w q l V O l 8 q r 6 c a u 6 + V U U 4 4 9 1 r Y K V 3 1 0 i B X N V 3 p X R u F d G 4 1 + Z X h y s g 8 r S Y 6 R D n 7 k a J 8 u o v C y j c r O a F 8 a Y q / G z T C + O 1 k G F 4 T F S p M 9 c j b N l V N 6 W U b l b R u N v G Y 3 D Z X r x u A 4 q z Y 6 R N n 3 m a r w u o 3 K 7 j M r v M h r H y 2 g 8 L 9 O L 6 3 V Q c X S M V O o z V + N + G Z X / Z V Q O m N F 4 Y E b j g p l e f L C D y p N j p F e f u R o / z K g c M a P y x I z G F T M a X 8 z 0 4 o w d V C A c I + X 6 z N U 4 Z E b l k R m V S 2 Y 0 P p n R O G W m F 6 / s o B L d G G n Y Z 6 7 G M z M q 1 8 y o f D O j c c 6 M x j s z v b h n B x X J x k j N / i c E j Y M G K g c N V A 4 a a B w 0 0 D h o 0 I u D d l C R a o x X 7 D N X 4 6 G B y k M D l Y c G G g 8 N N B 4 a 9 O K h H V Q k G u M 9 + 8 x V f f 3 S f f 7 S f f 9 S f Q B T f Q H r 5 x P Y I U W a M V 6 2 z 1 y N h w Y q D w 1 U H h p o P D T Q e G j Q i 4 d 2 U J F k j D f u M 1 f j o Y H K Q w O V h w Y a D w 0 0 H h r 0 4 q E d V K Q Y 4 7 X 7 z N V 4 a K D y 0 E D l o Y H G Q w O N h w a 9 e G g H F Q n G e P c + c z U e G q g 8 N F B 5 a K D x 0 E D j o U E v H t p B V X p x v Q C f u R o P D V Q e G q g 8 N N B 4 a K D x 0 K A X D + 2 g M r m 4 3 o L P X I 2 H B i o P D V Q e G m g 8 N N B 4 a N C L h 3 Z Q n V p c r 8 J n r s Z D A 5 W H B i o P D T Q e G m g 8 N O j F Q z u o U K x b 7 4 N L S N J 4 a K n K Q 0 t V H l q q 8 d B S j Y e W 6 j y 0 Q F 5 h R 0 O h d s 4 u 9 8 D g n 8 o q / h b K K l Z K v a u q G F C a 1 m d W G t v n 1 X x 2 m 7 y e 3 / 8 y W S 7 L W f l J b X 4 r a l O t N A q 1 a X 0 Q q L H q X q 0 / L T O / L X 1 5 + U q l L 6 2 P V T W G 6 j O 3 + s Q n j f l t a E y 4 3 G + H Y r 8 N + B x T R I H U R f B L I U S r H 7 S r d + B W O M B F D a T C E m J 9 A 6 G k A S 5 i Q O s W S K U K x O o E Q k E C X I K A V h 2 Q C g 2 I t Q W E c g K 4 g A C t G S C V C R A r A w j F A D D 8 P 0 X 8 l 0 D + R V x / A c o f g / d 7 e P 0 S R L + I y i 8 A 8 R P o f Q 9 t X w L Y F z H 1 B R h 9 A p z v Y e V L 8 P g i I r 4 A g k 9 g 7 z 2 k e w n c X s S z F y D s C W i 9 h 1 M v Q t P L a P Q S A D 2 B n P d Q 5 k V g e R l L X o K P J 4 D x H k a 8 C A s v I 8 F L 4 O 8 E 7 t 1 D e B d B 3 W U c d w m 6 n Y C 1 e / j s I i S 7 j M I u A a 8 T q H U P X V 0 E V J c x 1 C X Y d A K U 7 m G j i 3 D o M g K 6 B H p O Y M 4 9 Z H M R z F z G L 5 c g y w l I u Y d L L k K R y + j j E u A 4 g R j 3 U M V F I H E Z O 1 y C C y c A 4 R 4 m u A g D L i N / S 2 D f B N 7 b Q / Q W Q b x l 3 G 4 J q p u A c 3 t 4 3 C I E t 4 y 6 L Q F t E 2 h t D 0 1 b B N C W M b M l m G w C j O 1 h Y Y v w 1 z L i t Q R y T W C t P S R r E b x a x q u W I K o J K L W H Q y 1 C T 8 t o 0 x L A N I G U 9 l C k R e B o G S t a g o c m g N A e B r Q I + y w j P U v g z g T O 2 U N w F k G b Z Z x m C Z q Z g D F 7 + M s i 5 L K M s i w B K 2 M o 5 T g q M k I l R k i + C P w W 4 c U i i F W E S o q A P B H 0 J Y K K x N C K G I g Q w / Z h k D s M C Y c B 1 D D c G M b m w j h W G P M J 4 y N h L C G M u 4 M x a j C e C 8 Y + w T g h G F M D 4 0 9 g r A a M a 4 A B A P D Z d X z q G h 8 X x g d d 8 R F N f L g Q H 4 v D B 7 r I U S R y e o a c 9 y A n F E h O P c k C J 3 n L J N O W 5 I a S b E a S f 0 c r 3 D s h D P y T p D q Q j / P k c z L 5 A E o + 2 Z E 0 Q N w r p 8 Z 8 p M h o o C Q t F / K o g h e b s p D q U r P O F x s m G u 9 G W n E U L Y C 5 H q u G i 1 D V P z 6 p q q S q y 6 6 i o q t f b U I 0 5 b 7 e 6 q b a a s O 0 L + Y P V 9 N Z e f z h q + d f n y R f P X 9 W / X N R / f P v 7 7 8 5 P 0 m + v H w e L 2 4 c K Q b a F B t t q k 2 f z h Z V O V q M O U + Y w d 3 c c g b j y y s A 6 B u 2 B X v / h / 8 H U E s D B B Q A A A g I A N x T I V x T c j g s m w A A A O E A A A A T A A A A W 0 N v b n R l b n R f V H l w Z X N d L n h t b G 2 O P Q 7 C M A x G r x J 5 b 1 0 Y E E J N G Y A b c I E o u D + i c a L G R e V s D B y J K 5 C 2 a 0 d / f s + f f 5 9 v e Z 5 c r 1 4 0 x M 6 z h l 1 e g C K 2 / t F x o 2 G U O j v C u S r v 7 0 B R J Z S j h l Y k n B C j b c m Z m P t A n D a 1 H 5 y R N A 4 N B m O f p i H c F 8 U B r W c h l k z m G 1 C V V 6 r N 2 I u 6 T S l e a 5 M O 6 r J y c 5 U G o U l w i X H T c F t 8 6 E 3 H i 4 H L w 9 U f U E s B A h Q D F A A A C A g A 3 F M h X L G / U E 6 l A A A A 9 g A A A B I A A A A A A A A A A A A A A K S B A A A A A E N v b m Z p Z y 9 Q Y W N r Y W d l L n h t b F B L A Q I U A x Q A A A g I A N x T I V x 5 z g W p Q 7 A A A O n D B Q A T A A A A A A A A A A A A A A C k g d U A A A B G b 3 J t d W x h c y 9 T Z W N 0 a W 9 u M S 5 t U E s B A h Q D F A A A C A g A 3 F M h X F N y O C y b A A A A 4 Q A A A B M A A A A A A A A A A A A A A K S B S b E A A F t D b 2 5 0 Z W 5 0 X 1 R 5 c G V z X S 5 4 b W x Q S w U G A A A A A A M A A w D C A A A A F b 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N o s D A A A A A A A U i w M A 7 7 u / P D 9 4 b W w g d m V y c 2 l v b j 0 i M S 4 w I i B l b m N v Z G l u Z z 0 i d X R m L T g i P z 4 8 T G 9 j Y W x Q Y W N r Y W d l T W V 0 Y W R h d G F G a W x l I H h t b G 5 z O n h z a T 0 i a H R 0 c D o v L 3 d 3 d y 5 3 M y 5 v c m c v M j A w M S 9 Y T U x T Y 2 h l b W E t a W 5 z d G F u Y 2 U i I H h t b G 5 z O n h z Z D 0 i a H R 0 c D o v L 3 d 3 d y 5 3 M y 5 v c m c v M j A w M S 9 Y T U x T Y 2 h l b W E i P j x J d G V t c z 4 8 S X R l b T 4 8 S X R l b U x v Y 2 F 0 a W 9 u P j x J d G V t V H l w Z T 5 G b 3 J t d W x h P C 9 J d G V t V H l w Z T 4 8 S X R l b V B h d G g + U 2 V j d G l v b j E v R l N E 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V j M z d h O D B i L W U 3 Y z k t N G Q 3 N i 0 5 O T N k L T B k N W V i N j Q 1 O D M 0 Z i I g L z 4 8 R W 5 0 c n k g V H l w Z T 0 i U m V j b 3 Z l c n l U Y X J n Z X R D b 2 x 1 b W 4 i I F Z h b H V l P S J s M S I g L z 4 8 R W 5 0 c n k g V H l w Z T 0 i U m V j b 3 Z l c n l U Y X J n Z X R S b 3 c i I F Z h b H V l P S J s N i I g L z 4 8 R W 5 0 c n k g V H l w Z T 0 i U m V j b 3 Z l c n l U Y X J n Z X R T a G V l d C I g V m F s d W U 9 I n N G U 0 Q i I C 8 + P E V u d H J 5 I F R 5 c G U 9 I l J l c 3 V s d F R 5 c G U i I F Z h b H V l P S J z V G F i b G U i I C 8 + P E V u d H J 5 I F R 5 c G U 9 I k 5 h d m l n Y X R p b 2 5 T d G V w T m F t Z S I g V m F s d W U 9 I n N O Y X Z p Z 2 F 0 a W U i I C 8 + P E V u d H J 5 I F R 5 c G U 9 I k Z p b G x P Y m p l Y 3 R U e X B l I i B W Y W x 1 Z T 0 i c 1 R h Y m x l I i A v P j x F b n R y e S B U e X B l P S J O Y W 1 l V X B k Y X R l Z E F m d G V y R m l s b C I g V m F s d W U 9 I m w w I i A v P j x F b n R y e S B U e X B l P S J G a W x s V G F y Z 2 V 0 I i B W Y W x 1 Z T 0 i c 0 Z T R C I g L z 4 8 R W 5 0 c n k g V H l w Z T 0 i T G 9 h Z F R v U m V w b 3 J 0 R G l z Y W J s Z W Q i I F Z h b H V l P S J s M C I g L z 4 8 R W 5 0 c n k g V H l w Z T 0 i R m l s b E x h c 3 R V c G R h d G V k I i B W Y W x 1 Z T 0 i Z D I w M j Y t M D E t M D F U M D k 6 M z A 6 N D k u M D g 0 N D A w M F o i I C 8 + P E V u d H J 5 I F R 5 c G U 9 I k Z p b G x D b 2 x 1 b W 5 U e X B l c y I g V m F s d W U 9 I n N C Z 1 l H Q m d Z R 0 J n W U R B d 0 1 E Q X d N R E F 3 T U R B d 0 1 H Q X d N R E F 3 T U R B d 1 l E Q X d N R E F 3 T U R C Z 1 l H Q X d j S E J n W U d C Z 1 l H Q X d Z R 0 J n W T 0 i I C 8 + P E V u d H J 5 I F R 5 c G U 9 I k Z p b G x D b 2 x 1 b W 5 O Y W 1 l c y I g V m F s d W U 9 I n N b J n F 1 b 3 Q 7 S 3 J p b m d k Y W c m c X V v d D s s J n F 1 b 3 Q 7 V m V y L m 5 y L i Z x d W 9 0 O y w m c X V v d D t O Y W F t I H Z l c m V u a W d p b m c m c X V v d D s s J n F 1 b 3 Q 7 R G V s Z W d h d G l l J n F 1 b 3 Q 7 L C Z x d W 9 0 O 0 1 1 e m l l a 2 t v c n B z I H R p a m R l b n M g b W F y c y B l b i B k Z W Z p b F x 1 M D B F O S Z x d W 9 0 O y w m c X V v d D t E Z W V s b m F t Z S B q Z X V n Z G t v b m l u Z 3 N j a G l l d G V u J n F 1 b 3 Q 7 L C Z x d W 9 0 O 0 1 h a i 4 g U 2 V u a W 9 y Z W 4 g a n V y Z X J l b i B i a W o g b W F y c y Z x d W 9 0 O y w m c X V v d D t N Y W o u I E p l d W d k I G p 1 c m V y Z W 4 g Y m l q I G 1 h c n M m c X V v d D s s J n F 1 b 3 Q 7 S 2 9 y c H M g c 2 V u a W 9 y Z W 4 m c X V v d D s s J n F 1 b 3 Q 7 S n V u a W 9 y Z W 4 g a 2 9 y c H M g M S Z x d W 9 0 O y w m c X V v d D t K d W 5 p b 3 J l b i B r b 3 J w c y A y J n F 1 b 3 Q 7 L C Z x d W 9 0 O 0 F z c G l y Y W 5 0 Z W 4 g a 2 9 y c H M g M S Z x d W 9 0 O y w m c X V v d D t B c 3 B p c m F u d G V u I G t v c n B z I D I m c X V v d D s s J n F 1 b 3 Q 7 Q W N y b 2 J h d G l z Y 2 g g c 2 V u a W 9 y Z W 4 m c X V v d D s s J n F 1 b 3 Q 7 Q W N y b 2 J h d G l z Y 2 g g a n V u a W 9 y Z W 4 m c X V v d D s s J n F 1 b 3 Q 7 Q W N y b 2 J h d G l z Y 2 g g Y X N w a X J h b n R l b i Z x d W 9 0 O y w m c X V v d D t P c G d l d m V u I H Z l b m R l b G l l c n M g a W 5 k L i Z x d W 9 0 O y w m c X V v d D t B Y 3 J v Y i 4 g c 2 V u a W 9 y Z W 4 g a W 5 k a X Y u J n F 1 b 3 Q 7 L C Z x d W 9 0 O 0 F j c m 9 i L i B q d W 5 p b 3 J l b i B p b m R p d i 4 m c X V v d D s s J n F 1 b 3 Q 7 Q W N y b 2 I u I G F z c G l y Y W 5 0 Z W 4 g a W 5 k a X Y u J n F 1 b 3 Q 7 L C Z x d W 9 0 O 0 R l Z W x u Y W 1 l I G h v b 2 Z k a 2 9 y c H M m c X V v d D s s J n F 1 b 3 Q 7 R 3 J v Z X B l b i w g d G V h b X M s I G V u c 2 V t Y m x l c y B l b i B k d W 9 c d T A w M j d z J n F 1 b 3 Q 7 L C Z x d W 9 0 O 0 F h b n R h b C B v c G d l Z 2 V 2 Z W 4 g b W F q b 3 J l d H R l c y Z x d W 9 0 O y w m c X V v d D t P c G d l d m V u I G J p Z W x l b W F u b m V u J n F 1 b 3 Q 7 L C Z x d W 9 0 O 1 N l b m l v c m V u J n F 1 b 3 Q 7 L C Z x d W 9 0 O 0 p v b m c g V m 9 s d 2 F z c 2 V u Z S Z x d W 9 0 O y w m c X V v d D t K d W 5 p b 3 J l b i Z x d W 9 0 O y w m c X V v d D t B c 3 B p c m F u d G V u J n F 1 b 3 Q 7 L C Z x d W 9 0 O 0 R l Z W x u Y W 1 l I G 1 h c m t l d G V u d H N 0 Z X J z J n F 1 b 3 Q 7 L C Z x d W 9 0 O 0 F h b n R h b C B s d W N o d G d l d 2 V l c n N j a H V 0 d G V y c y Z x d W 9 0 O y w m c X V v d D t B Y W 5 0 Y W w g b H V j a H R w a X N 0 b 2 9 s c 2 N o d X R 0 Z X J z J n F 1 b 3 Q 7 L C Z x d W 9 0 O 0 F h b n R h b C B o Y W 5 k Y m 9 v Z 3 N j a H V 0 d G V y c y Z x d W 9 0 O y w m c X V v d D t B Y W 5 0 Y W w g a 3 J 1 a X N i b 2 9 n c 2 N o d X R 0 Z X J z J n F 1 b 3 Q 7 L C Z x d W 9 0 O y h B Y W 5 0 Y W w g a m V 1 Z 2 R r b 3 J w c 2 V u J n F 1 b 3 Q 7 L C Z x d W 9 0 O 1 R v d G F h b C B h Y W 5 0 Y W w g Z G V l b G 5 l b W V y c y Z x d W 9 0 O y w m c X V v d D t X Y W F y d m F u I G F h b n R h b C B q Z X V n Z C A o d C 9 t I D E 1 I G p h Y X I p J n F 1 b 3 Q 7 L C Z x d W 9 0 O 0 t h b m 9 u I G V 0 Y y 4 m c X V v d D s s J n F 1 b 3 Q 7 U G F h c m R l b i B l b i 9 v Z i B r b 2 V 0 c 2 V u J n F 1 b 3 Q 7 L C Z x d W 9 0 O 1 R v Z W x p Y 2 h 0 a W 5 n L 2 9 w b W V y a 2 l u Z 2 V u J n F 1 b 3 Q 7 L C Z x d W 9 0 O 0 l u e m V u Z G l u Z y 1 J R C Z x d W 9 0 O y w m c X V v d D t J b n p l b m R k Y X R 1 b S Z x d W 9 0 O y w m c X V v d D t E Y X R l I F V w Z G F 0 Z W Q m c X V v d D s s J n F 1 b 3 Q 7 T m F h b S B 2 Y W 4 g a G V 0 I G h v b 2 Z k a 2 9 y c H M m c X V v d D s s J n F 1 b 3 Q 7 W m F s I G 9 w I H R y Z W R l b i B h b H M g K G h v b 2 Z k a 2 9 y c H M p J n F 1 b 3 Q 7 L C Z x d W 9 0 O 1 Z v c m 0 g d m F u I H R 3 Z W U g b X V 6 a W V r d 2 V y a 2 V u I C h o b 2 9 m Z G t v c n B z K S Z x d W 9 0 O y w m c X V v d D t a Y W w g d W l 0 a 2 9 t Z W 4 g a W 4 g Z G U 6 I C h o b 2 9 m Z G t v c n B z K S Z x d W 9 0 O y w m c X V v d D t N d X p p Z W t 3 Z X J r M S A o a G 9 v Z m R r b 3 J w c y k m c X V v d D s s J n F 1 b 3 Q 7 T X V 6 a W V r d 2 V y a z I g K G h v b 2 Z k a 2 9 y c H M p J n F 1 b 3 Q 7 L C Z x d W 9 0 O 0 t v c n B z I G J l c 3 R h Y X Q g d W l 0 I C 4 u L i B k Z W V s b m V t Z X J z I C h o b 2 9 m Z G t v c n B z K S Z x d W 9 0 O y w m c X V v d D t X b 3 J k d C B l c i B n Z W J y d W l r I G d l b W F h a 3 Q g d m F u I G 1 l Y 2 h h b m l z Y 2 h l I G 1 1 e m l l a z 8 m c X V v d D s s J n F 1 b 3 Q 7 T 2 5 k Z X J k Z W x l b i Z x d W 9 0 O y w m c X V v d D t T Z W N 0 a W V z J n F 1 b 3 Q 7 L C Z x d W 9 0 O 0 x l Z W Z 0 a W p k c 2 N h d G V n b 3 J p Z S Z x d W 9 0 O 1 0 i I C 8 + P E V u d H J 5 I F R 5 c G U 9 I k Z p b G x F c n J v c k N v d W 5 0 I i B W Y W x 1 Z T 0 i b D A i I C 8 + P E V u d H J 5 I F R 5 c G U 9 I k Z p b G x T d G F 0 d X M i I F Z h b H V l P S J z Q 2 9 t c G x l d G U i I C 8 + P E V u d H J 5 I F R 5 c G U 9 I k Z p b G x F c n J v c k N v Z G U i I F Z h b H V l P S J z V W 5 r b m 9 3 b i I g L z 4 8 R W 5 0 c n k g V H l w Z T 0 i R m l s b E N v d W 5 0 I i B W Y W x 1 Z T 0 i b D M 2 I i A v P j x F b n R y e S B U e X B l P S J S Z W x h d G l v b n N o a X B J b m Z v Q 2 9 u d G F p b m V y I i B W Y W x 1 Z T 0 i c 3 s m c X V v d D t j b 2 x 1 b W 5 D b 3 V u d C Z x d W 9 0 O z o 1 M y w m c X V v d D t r Z X l D b 2 x 1 b W 5 O Y W 1 l c y Z x d W 9 0 O z p b X S w m c X V v d D t x d W V y e V J l b G F 0 a W 9 u c 2 h p c H M m c X V v d D s 6 W 1 0 s J n F 1 b 3 Q 7 Y 2 9 s d W 1 u S W R l b n R p d G l l c y Z x d W 9 0 O z p b J n F 1 b 3 Q 7 U 2 V j d G l v b j E v R l N E L 0 F 1 d G 9 S Z W 1 v d m V k Q 2 9 s d W 1 u c z E u e 0 t y a W 5 n Z G F n L D B 9 J n F 1 b 3 Q 7 L C Z x d W 9 0 O 1 N l Y 3 R p b 2 4 x L 0 Z T R C 9 B d X R v U m V t b 3 Z l Z E N v b H V t b n M x L n t W Z X I u b n I u L D F 9 J n F 1 b 3 Q 7 L C Z x d W 9 0 O 1 N l Y 3 R p b 2 4 x L 0 Z T R C 9 B d X R v U m V t b 3 Z l Z E N v b H V t b n M x L n t O Y W F t I H Z l c m V u a W d p b m c s M n 0 m c X V v d D s s J n F 1 b 3 Q 7 U 2 V j d G l v b j E v R l N E L 0 F 1 d G 9 S Z W 1 v d m V k Q 2 9 s d W 1 u c z E u e 0 R l b G V n Y X R p Z S w z f S Z x d W 9 0 O y w m c X V v d D t T Z W N 0 a W 9 u M S 9 G U 0 Q v Q X V 0 b 1 J l b W 9 2 Z W R D b 2 x 1 b W 5 z M S 5 7 T X V 6 a W V r a 2 9 y c H M g d G l q Z G V u c y B t Y X J z I G V u I G R l Z m l s X H U w M E U 5 L D R 9 J n F 1 b 3 Q 7 L C Z x d W 9 0 O 1 N l Y 3 R p b 2 4 x L 0 Z T R C 9 B d X R v U m V t b 3 Z l Z E N v b H V t b n M x L n t E Z W V s b m F t Z S B q Z X V n Z G t v b m l u Z 3 N j a G l l d G V u L D V 9 J n F 1 b 3 Q 7 L C Z x d W 9 0 O 1 N l Y 3 R p b 2 4 x L 0 Z T R C 9 B d X R v U m V t b 3 Z l Z E N v b H V t b n M x L n t N Y W o u I F N l b m l v c m V u I G p 1 c m V y Z W 4 g Y m l q I G 1 h c n M s N n 0 m c X V v d D s s J n F 1 b 3 Q 7 U 2 V j d G l v b j E v R l N E L 0 F 1 d G 9 S Z W 1 v d m V k Q 2 9 s d W 1 u c z E u e 0 1 h a i 4 g S m V 1 Z 2 Q g a n V y Z X J l b i B i a W o g b W F y c y w 3 f S Z x d W 9 0 O y w m c X V v d D t T Z W N 0 a W 9 u M S 9 G U 0 Q v Q X V 0 b 1 J l b W 9 2 Z W R D b 2 x 1 b W 5 z M S 5 7 S 2 9 y c H M g c 2 V u a W 9 y Z W 4 s O H 0 m c X V v d D s s J n F 1 b 3 Q 7 U 2 V j d G l v b j E v R l N E L 0 F 1 d G 9 S Z W 1 v d m V k Q 2 9 s d W 1 u c z E u e 0 p 1 b m l v c m V u I G t v c n B z I D E s O X 0 m c X V v d D s s J n F 1 b 3 Q 7 U 2 V j d G l v b j E v R l N E L 0 F 1 d G 9 S Z W 1 v d m V k Q 2 9 s d W 1 u c z E u e 0 p 1 b m l v c m V u I G t v c n B z I D I s M T B 9 J n F 1 b 3 Q 7 L C Z x d W 9 0 O 1 N l Y 3 R p b 2 4 x L 0 Z T R C 9 B d X R v U m V t b 3 Z l Z E N v b H V t b n M x L n t B c 3 B p c m F u d G V u I G t v c n B z I D E s M T F 9 J n F 1 b 3 Q 7 L C Z x d W 9 0 O 1 N l Y 3 R p b 2 4 x L 0 Z T R C 9 B d X R v U m V t b 3 Z l Z E N v b H V t b n M x L n t B c 3 B p c m F u d G V u I G t v c n B z I D I s M T J 9 J n F 1 b 3 Q 7 L C Z x d W 9 0 O 1 N l Y 3 R p b 2 4 x L 0 Z T R C 9 B d X R v U m V t b 3 Z l Z E N v b H V t b n M x L n t B Y 3 J v Y m F 0 a X N j a C B z Z W 5 p b 3 J l b i w x M 3 0 m c X V v d D s s J n F 1 b 3 Q 7 U 2 V j d G l v b j E v R l N E L 0 F 1 d G 9 S Z W 1 v d m V k Q 2 9 s d W 1 u c z E u e 0 F j c m 9 i Y X R p c 2 N o I G p 1 b m l v c m V u L D E 0 f S Z x d W 9 0 O y w m c X V v d D t T Z W N 0 a W 9 u M S 9 G U 0 Q v Q X V 0 b 1 J l b W 9 2 Z W R D b 2 x 1 b W 5 z M S 5 7 Q W N y b 2 J h d G l z Y 2 g g Y X N w a X J h b n R l b i w x N X 0 m c X V v d D s s J n F 1 b 3 Q 7 U 2 V j d G l v b j E v R l N E L 0 F 1 d G 9 S Z W 1 v d m V k Q 2 9 s d W 1 u c z E u e 0 9 w Z 2 V 2 Z W 4 g d m V u Z G V s a W V y c y B p b m Q u L D E 2 f S Z x d W 9 0 O y w m c X V v d D t T Z W N 0 a W 9 u M S 9 G U 0 Q v Q X V 0 b 1 J l b W 9 2 Z W R D b 2 x 1 b W 5 z M S 5 7 Q W N y b 2 I u I H N l b m l v c m V u I G l u Z G l 2 L i w x N 3 0 m c X V v d D s s J n F 1 b 3 Q 7 U 2 V j d G l v b j E v R l N E L 0 F 1 d G 9 S Z W 1 v d m V k Q 2 9 s d W 1 u c z E u e 0 F j c m 9 i L i B q d W 5 p b 3 J l b i B p b m R p d i 4 s M T h 9 J n F 1 b 3 Q 7 L C Z x d W 9 0 O 1 N l Y 3 R p b 2 4 x L 0 Z T R C 9 B d X R v U m V t b 3 Z l Z E N v b H V t b n M x L n t B Y 3 J v Y i 4 g Y X N w a X J h b n R l b i B p b m R p d i 4 s M T l 9 J n F 1 b 3 Q 7 L C Z x d W 9 0 O 1 N l Y 3 R p b 2 4 x L 0 Z T R C 9 B d X R v U m V t b 3 Z l Z E N v b H V t b n M x L n t E Z W V s b m F t Z S B o b 2 9 m Z G t v c n B z L D I w f S Z x d W 9 0 O y w m c X V v d D t T Z W N 0 a W 9 u M S 9 G U 0 Q v Q X V 0 b 1 J l b W 9 2 Z W R D b 2 x 1 b W 5 z M S 5 7 R 3 J v Z X B l b i w g d G V h b X M s I G V u c 2 V t Y m x l c y B l b i B k d W 9 c d T A w M j d z L D I x f S Z x d W 9 0 O y w m c X V v d D t T Z W N 0 a W 9 u M S 9 G U 0 Q v Q X V 0 b 1 J l b W 9 2 Z W R D b 2 x 1 b W 5 z M S 5 7 Q W F u d G F s I G 9 w Z 2 V n Z X Z l b i B t Y W p v c m V 0 d G V z L D I y f S Z x d W 9 0 O y w m c X V v d D t T Z W N 0 a W 9 u M S 9 G U 0 Q v Q X V 0 b 1 J l b W 9 2 Z W R D b 2 x 1 b W 5 z M S 5 7 T 3 B n Z X Z l b i B i a W V s Z W 1 h b m 5 l b i w y M 3 0 m c X V v d D s s J n F 1 b 3 Q 7 U 2 V j d G l v b j E v R l N E L 0 F 1 d G 9 S Z W 1 v d m V k Q 2 9 s d W 1 u c z E u e 1 N l b m l v c m V u L D I 0 f S Z x d W 9 0 O y w m c X V v d D t T Z W N 0 a W 9 u M S 9 G U 0 Q v Q X V 0 b 1 J l b W 9 2 Z W R D b 2 x 1 b W 5 z M S 5 7 S m 9 u Z y B W b 2 x 3 Y X N z Z W 5 l L D I 1 f S Z x d W 9 0 O y w m c X V v d D t T Z W N 0 a W 9 u M S 9 G U 0 Q v Q X V 0 b 1 J l b W 9 2 Z W R D b 2 x 1 b W 5 z M S 5 7 S n V u a W 9 y Z W 4 s M j Z 9 J n F 1 b 3 Q 7 L C Z x d W 9 0 O 1 N l Y 3 R p b 2 4 x L 0 Z T R C 9 B d X R v U m V t b 3 Z l Z E N v b H V t b n M x L n t B c 3 B p c m F u d G V u L D I 3 f S Z x d W 9 0 O y w m c X V v d D t T Z W N 0 a W 9 u M S 9 G U 0 Q v Q X V 0 b 1 J l b W 9 2 Z W R D b 2 x 1 b W 5 z M S 5 7 R G V l b G 5 h b W U g b W F y a 2 V 0 Z W 5 0 c 3 R l c n M s M j h 9 J n F 1 b 3 Q 7 L C Z x d W 9 0 O 1 N l Y 3 R p b 2 4 x L 0 Z T R C 9 B d X R v U m V t b 3 Z l Z E N v b H V t b n M x L n t B Y W 5 0 Y W w g b H V j a H R n Z X d l Z X J z Y 2 h 1 d H R l c n M s M j l 9 J n F 1 b 3 Q 7 L C Z x d W 9 0 O 1 N l Y 3 R p b 2 4 x L 0 Z T R C 9 B d X R v U m V t b 3 Z l Z E N v b H V t b n M x L n t B Y W 5 0 Y W w g b H V j a H R w a X N 0 b 2 9 s c 2 N o d X R 0 Z X J z L D M w f S Z x d W 9 0 O y w m c X V v d D t T Z W N 0 a W 9 u M S 9 G U 0 Q v Q X V 0 b 1 J l b W 9 2 Z W R D b 2 x 1 b W 5 z M S 5 7 Q W F u d G F s I G h h b m R i b 2 9 n c 2 N o d X R 0 Z X J z L D M x f S Z x d W 9 0 O y w m c X V v d D t T Z W N 0 a W 9 u M S 9 G U 0 Q v Q X V 0 b 1 J l b W 9 2 Z W R D b 2 x 1 b W 5 z M S 5 7 Q W F u d G F s I G t y d W l z Y m 9 v Z 3 N j a H V 0 d G V y c y w z M n 0 m c X V v d D s s J n F 1 b 3 Q 7 U 2 V j d G l v b j E v R l N E L 0 F 1 d G 9 S Z W 1 v d m V k Q 2 9 s d W 1 u c z E u e y h B Y W 5 0 Y W w g a m V 1 Z 2 R r b 3 J w c 2 V u L D M z f S Z x d W 9 0 O y w m c X V v d D t T Z W N 0 a W 9 u M S 9 G U 0 Q v Q X V 0 b 1 J l b W 9 2 Z W R D b 2 x 1 b W 5 z M S 5 7 V G 9 0 Y W F s I G F h b n R h b C B k Z W V s b m V t Z X J z L D M 0 f S Z x d W 9 0 O y w m c X V v d D t T Z W N 0 a W 9 u M S 9 G U 0 Q v Q X V 0 b 1 J l b W 9 2 Z W R D b 2 x 1 b W 5 z M S 5 7 V 2 F h c n Z h b i B h Y W 5 0 Y W w g a m V 1 Z 2 Q g K H Q v b S A x N S B q Y W F y K S w z N X 0 m c X V v d D s s J n F 1 b 3 Q 7 U 2 V j d G l v b j E v R l N E L 0 F 1 d G 9 S Z W 1 v d m V k Q 2 9 s d W 1 u c z E u e 0 t h b m 9 u I G V 0 Y y 4 s M z Z 9 J n F 1 b 3 Q 7 L C Z x d W 9 0 O 1 N l Y 3 R p b 2 4 x L 0 Z T R C 9 B d X R v U m V t b 3 Z l Z E N v b H V t b n M x L n t Q Y W F y Z G V u I G V u L 2 9 m I G t v Z X R z Z W 4 s M z d 9 J n F 1 b 3 Q 7 L C Z x d W 9 0 O 1 N l Y 3 R p b 2 4 x L 0 Z T R C 9 B d X R v U m V t b 3 Z l Z E N v b H V t b n M x L n t U b 2 V s a W N o d G l u Z y 9 v c G 1 l c m t p b m d l b i w z O H 0 m c X V v d D s s J n F 1 b 3 Q 7 U 2 V j d G l v b j E v R l N E L 0 F 1 d G 9 S Z W 1 v d m V k Q 2 9 s d W 1 u c z E u e 0 l u e m V u Z G l u Z y 1 J R C w z O X 0 m c X V v d D s s J n F 1 b 3 Q 7 U 2 V j d G l v b j E v R l N E L 0 F 1 d G 9 S Z W 1 v d m V k Q 2 9 s d W 1 u c z E u e 0 l u e m V u Z G R h d H V t L D Q w f S Z x d W 9 0 O y w m c X V v d D t T Z W N 0 a W 9 u M S 9 G U 0 Q v Q X V 0 b 1 J l b W 9 2 Z W R D b 2 x 1 b W 5 z M S 5 7 R G F 0 Z S B V c G R h d G V k L D Q x f S Z x d W 9 0 O y w m c X V v d D t T Z W N 0 a W 9 u M S 9 G U 0 Q v Q X V 0 b 1 J l b W 9 2 Z W R D b 2 x 1 b W 5 z M S 5 7 T m F h b S B 2 Y W 4 g a G V 0 I G h v b 2 Z k a 2 9 y c H M s N D J 9 J n F 1 b 3 Q 7 L C Z x d W 9 0 O 1 N l Y 3 R p b 2 4 x L 0 Z T R C 9 B d X R v U m V t b 3 Z l Z E N v b H V t b n M x L n t a Y W w g b 3 A g d H J l Z G V u I G F s c y A o a G 9 v Z m R r b 3 J w c y k s N D N 9 J n F 1 b 3 Q 7 L C Z x d W 9 0 O 1 N l Y 3 R p b 2 4 x L 0 Z T R C 9 B d X R v U m V t b 3 Z l Z E N v b H V t b n M x L n t W b 3 J t I H Z h b i B 0 d 2 V l I G 1 1 e m l l a 3 d l c m t l b i A o a G 9 v Z m R r b 3 J w c y k s N D R 9 J n F 1 b 3 Q 7 L C Z x d W 9 0 O 1 N l Y 3 R p b 2 4 x L 0 Z T R C 9 B d X R v U m V t b 3 Z l Z E N v b H V t b n M x L n t a Y W w g d W l 0 a 2 9 t Z W 4 g a W 4 g Z G U 6 I C h o b 2 9 m Z G t v c n B z K S w 0 N X 0 m c X V v d D s s J n F 1 b 3 Q 7 U 2 V j d G l v b j E v R l N E L 0 F 1 d G 9 S Z W 1 v d m V k Q 2 9 s d W 1 u c z E u e 0 1 1 e m l l a 3 d l c m s x I C h o b 2 9 m Z G t v c n B z K S w 0 N n 0 m c X V v d D s s J n F 1 b 3 Q 7 U 2 V j d G l v b j E v R l N E L 0 F 1 d G 9 S Z W 1 v d m V k Q 2 9 s d W 1 u c z E u e 0 1 1 e m l l a 3 d l c m s y I C h o b 2 9 m Z G t v c n B z K S w 0 N 3 0 m c X V v d D s s J n F 1 b 3 Q 7 U 2 V j d G l v b j E v R l N E L 0 F 1 d G 9 S Z W 1 v d m V k Q 2 9 s d W 1 u c z E u e 0 t v c n B z I G J l c 3 R h Y X Q g d W l 0 I C 4 u L i B k Z W V s b m V t Z X J z I C h o b 2 9 m Z G t v c n B z K S w 0 O H 0 m c X V v d D s s J n F 1 b 3 Q 7 U 2 V j d G l v b j E v R l N E L 0 F 1 d G 9 S Z W 1 v d m V k Q 2 9 s d W 1 u c z E u e 1 d v c m R 0 I G V y I G d l Y n J 1 a W s g Z 2 V t Y W F r d C B 2 Y W 4 g b W V j a G F u a X N j a G U g b X V 6 a W V r P y w 0 O X 0 m c X V v d D s s J n F 1 b 3 Q 7 U 2 V j d G l v b j E v R l N E L 0 F 1 d G 9 S Z W 1 v d m V k Q 2 9 s d W 1 u c z E u e 0 9 u Z G V y Z G V s Z W 4 s N T B 9 J n F 1 b 3 Q 7 L C Z x d W 9 0 O 1 N l Y 3 R p b 2 4 x L 0 Z T R C 9 B d X R v U m V t b 3 Z l Z E N v b H V t b n M x L n t T Z W N 0 a W V z L D U x f S Z x d W 9 0 O y w m c X V v d D t T Z W N 0 a W 9 u M S 9 G U 0 Q v Q X V 0 b 1 J l b W 9 2 Z W R D b 2 x 1 b W 5 z M S 5 7 T G V l Z n R p a m R z Y 2 F 0 Z W d v c m l l L D U y f S Z x d W 9 0 O 1 0 s J n F 1 b 3 Q 7 Q 2 9 s d W 1 u Q 2 9 1 b n Q m c X V v d D s 6 N T M s J n F 1 b 3 Q 7 S 2 V 5 Q 2 9 s d W 1 u T m F t Z X M m c X V v d D s 6 W 1 0 s J n F 1 b 3 Q 7 Q 2 9 s d W 1 u S W R l b n R p d G l l c y Z x d W 9 0 O z p b J n F 1 b 3 Q 7 U 2 V j d G l v b j E v R l N E L 0 F 1 d G 9 S Z W 1 v d m V k Q 2 9 s d W 1 u c z E u e 0 t y a W 5 n Z G F n L D B 9 J n F 1 b 3 Q 7 L C Z x d W 9 0 O 1 N l Y 3 R p b 2 4 x L 0 Z T R C 9 B d X R v U m V t b 3 Z l Z E N v b H V t b n M x L n t W Z X I u b n I u L D F 9 J n F 1 b 3 Q 7 L C Z x d W 9 0 O 1 N l Y 3 R p b 2 4 x L 0 Z T R C 9 B d X R v U m V t b 3 Z l Z E N v b H V t b n M x L n t O Y W F t I H Z l c m V u a W d p b m c s M n 0 m c X V v d D s s J n F 1 b 3 Q 7 U 2 V j d G l v b j E v R l N E L 0 F 1 d G 9 S Z W 1 v d m V k Q 2 9 s d W 1 u c z E u e 0 R l b G V n Y X R p Z S w z f S Z x d W 9 0 O y w m c X V v d D t T Z W N 0 a W 9 u M S 9 G U 0 Q v Q X V 0 b 1 J l b W 9 2 Z W R D b 2 x 1 b W 5 z M S 5 7 T X V 6 a W V r a 2 9 y c H M g d G l q Z G V u c y B t Y X J z I G V u I G R l Z m l s X H U w M E U 5 L D R 9 J n F 1 b 3 Q 7 L C Z x d W 9 0 O 1 N l Y 3 R p b 2 4 x L 0 Z T R C 9 B d X R v U m V t b 3 Z l Z E N v b H V t b n M x L n t E Z W V s b m F t Z S B q Z X V n Z G t v b m l u Z 3 N j a G l l d G V u L D V 9 J n F 1 b 3 Q 7 L C Z x d W 9 0 O 1 N l Y 3 R p b 2 4 x L 0 Z T R C 9 B d X R v U m V t b 3 Z l Z E N v b H V t b n M x L n t N Y W o u I F N l b m l v c m V u I G p 1 c m V y Z W 4 g Y m l q I G 1 h c n M s N n 0 m c X V v d D s s J n F 1 b 3 Q 7 U 2 V j d G l v b j E v R l N E L 0 F 1 d G 9 S Z W 1 v d m V k Q 2 9 s d W 1 u c z E u e 0 1 h a i 4 g S m V 1 Z 2 Q g a n V y Z X J l b i B i a W o g b W F y c y w 3 f S Z x d W 9 0 O y w m c X V v d D t T Z W N 0 a W 9 u M S 9 G U 0 Q v Q X V 0 b 1 J l b W 9 2 Z W R D b 2 x 1 b W 5 z M S 5 7 S 2 9 y c H M g c 2 V u a W 9 y Z W 4 s O H 0 m c X V v d D s s J n F 1 b 3 Q 7 U 2 V j d G l v b j E v R l N E L 0 F 1 d G 9 S Z W 1 v d m V k Q 2 9 s d W 1 u c z E u e 0 p 1 b m l v c m V u I G t v c n B z I D E s O X 0 m c X V v d D s s J n F 1 b 3 Q 7 U 2 V j d G l v b j E v R l N E L 0 F 1 d G 9 S Z W 1 v d m V k Q 2 9 s d W 1 u c z E u e 0 p 1 b m l v c m V u I G t v c n B z I D I s M T B 9 J n F 1 b 3 Q 7 L C Z x d W 9 0 O 1 N l Y 3 R p b 2 4 x L 0 Z T R C 9 B d X R v U m V t b 3 Z l Z E N v b H V t b n M x L n t B c 3 B p c m F u d G V u I G t v c n B z I D E s M T F 9 J n F 1 b 3 Q 7 L C Z x d W 9 0 O 1 N l Y 3 R p b 2 4 x L 0 Z T R C 9 B d X R v U m V t b 3 Z l Z E N v b H V t b n M x L n t B c 3 B p c m F u d G V u I G t v c n B z I D I s M T J 9 J n F 1 b 3 Q 7 L C Z x d W 9 0 O 1 N l Y 3 R p b 2 4 x L 0 Z T R C 9 B d X R v U m V t b 3 Z l Z E N v b H V t b n M x L n t B Y 3 J v Y m F 0 a X N j a C B z Z W 5 p b 3 J l b i w x M 3 0 m c X V v d D s s J n F 1 b 3 Q 7 U 2 V j d G l v b j E v R l N E L 0 F 1 d G 9 S Z W 1 v d m V k Q 2 9 s d W 1 u c z E u e 0 F j c m 9 i Y X R p c 2 N o I G p 1 b m l v c m V u L D E 0 f S Z x d W 9 0 O y w m c X V v d D t T Z W N 0 a W 9 u M S 9 G U 0 Q v Q X V 0 b 1 J l b W 9 2 Z W R D b 2 x 1 b W 5 z M S 5 7 Q W N y b 2 J h d G l z Y 2 g g Y X N w a X J h b n R l b i w x N X 0 m c X V v d D s s J n F 1 b 3 Q 7 U 2 V j d G l v b j E v R l N E L 0 F 1 d G 9 S Z W 1 v d m V k Q 2 9 s d W 1 u c z E u e 0 9 w Z 2 V 2 Z W 4 g d m V u Z G V s a W V y c y B p b m Q u L D E 2 f S Z x d W 9 0 O y w m c X V v d D t T Z W N 0 a W 9 u M S 9 G U 0 Q v Q X V 0 b 1 J l b W 9 2 Z W R D b 2 x 1 b W 5 z M S 5 7 Q W N y b 2 I u I H N l b m l v c m V u I G l u Z G l 2 L i w x N 3 0 m c X V v d D s s J n F 1 b 3 Q 7 U 2 V j d G l v b j E v R l N E L 0 F 1 d G 9 S Z W 1 v d m V k Q 2 9 s d W 1 u c z E u e 0 F j c m 9 i L i B q d W 5 p b 3 J l b i B p b m R p d i 4 s M T h 9 J n F 1 b 3 Q 7 L C Z x d W 9 0 O 1 N l Y 3 R p b 2 4 x L 0 Z T R C 9 B d X R v U m V t b 3 Z l Z E N v b H V t b n M x L n t B Y 3 J v Y i 4 g Y X N w a X J h b n R l b i B p b m R p d i 4 s M T l 9 J n F 1 b 3 Q 7 L C Z x d W 9 0 O 1 N l Y 3 R p b 2 4 x L 0 Z T R C 9 B d X R v U m V t b 3 Z l Z E N v b H V t b n M x L n t E Z W V s b m F t Z S B o b 2 9 m Z G t v c n B z L D I w f S Z x d W 9 0 O y w m c X V v d D t T Z W N 0 a W 9 u M S 9 G U 0 Q v Q X V 0 b 1 J l b W 9 2 Z W R D b 2 x 1 b W 5 z M S 5 7 R 3 J v Z X B l b i w g d G V h b X M s I G V u c 2 V t Y m x l c y B l b i B k d W 9 c d T A w M j d z L D I x f S Z x d W 9 0 O y w m c X V v d D t T Z W N 0 a W 9 u M S 9 G U 0 Q v Q X V 0 b 1 J l b W 9 2 Z W R D b 2 x 1 b W 5 z M S 5 7 Q W F u d G F s I G 9 w Z 2 V n Z X Z l b i B t Y W p v c m V 0 d G V z L D I y f S Z x d W 9 0 O y w m c X V v d D t T Z W N 0 a W 9 u M S 9 G U 0 Q v Q X V 0 b 1 J l b W 9 2 Z W R D b 2 x 1 b W 5 z M S 5 7 T 3 B n Z X Z l b i B i a W V s Z W 1 h b m 5 l b i w y M 3 0 m c X V v d D s s J n F 1 b 3 Q 7 U 2 V j d G l v b j E v R l N E L 0 F 1 d G 9 S Z W 1 v d m V k Q 2 9 s d W 1 u c z E u e 1 N l b m l v c m V u L D I 0 f S Z x d W 9 0 O y w m c X V v d D t T Z W N 0 a W 9 u M S 9 G U 0 Q v Q X V 0 b 1 J l b W 9 2 Z W R D b 2 x 1 b W 5 z M S 5 7 S m 9 u Z y B W b 2 x 3 Y X N z Z W 5 l L D I 1 f S Z x d W 9 0 O y w m c X V v d D t T Z W N 0 a W 9 u M S 9 G U 0 Q v Q X V 0 b 1 J l b W 9 2 Z W R D b 2 x 1 b W 5 z M S 5 7 S n V u a W 9 y Z W 4 s M j Z 9 J n F 1 b 3 Q 7 L C Z x d W 9 0 O 1 N l Y 3 R p b 2 4 x L 0 Z T R C 9 B d X R v U m V t b 3 Z l Z E N v b H V t b n M x L n t B c 3 B p c m F u d G V u L D I 3 f S Z x d W 9 0 O y w m c X V v d D t T Z W N 0 a W 9 u M S 9 G U 0 Q v Q X V 0 b 1 J l b W 9 2 Z W R D b 2 x 1 b W 5 z M S 5 7 R G V l b G 5 h b W U g b W F y a 2 V 0 Z W 5 0 c 3 R l c n M s M j h 9 J n F 1 b 3 Q 7 L C Z x d W 9 0 O 1 N l Y 3 R p b 2 4 x L 0 Z T R C 9 B d X R v U m V t b 3 Z l Z E N v b H V t b n M x L n t B Y W 5 0 Y W w g b H V j a H R n Z X d l Z X J z Y 2 h 1 d H R l c n M s M j l 9 J n F 1 b 3 Q 7 L C Z x d W 9 0 O 1 N l Y 3 R p b 2 4 x L 0 Z T R C 9 B d X R v U m V t b 3 Z l Z E N v b H V t b n M x L n t B Y W 5 0 Y W w g b H V j a H R w a X N 0 b 2 9 s c 2 N o d X R 0 Z X J z L D M w f S Z x d W 9 0 O y w m c X V v d D t T Z W N 0 a W 9 u M S 9 G U 0 Q v Q X V 0 b 1 J l b W 9 2 Z W R D b 2 x 1 b W 5 z M S 5 7 Q W F u d G F s I G h h b m R i b 2 9 n c 2 N o d X R 0 Z X J z L D M x f S Z x d W 9 0 O y w m c X V v d D t T Z W N 0 a W 9 u M S 9 G U 0 Q v Q X V 0 b 1 J l b W 9 2 Z W R D b 2 x 1 b W 5 z M S 5 7 Q W F u d G F s I G t y d W l z Y m 9 v Z 3 N j a H V 0 d G V y c y w z M n 0 m c X V v d D s s J n F 1 b 3 Q 7 U 2 V j d G l v b j E v R l N E L 0 F 1 d G 9 S Z W 1 v d m V k Q 2 9 s d W 1 u c z E u e y h B Y W 5 0 Y W w g a m V 1 Z 2 R r b 3 J w c 2 V u L D M z f S Z x d W 9 0 O y w m c X V v d D t T Z W N 0 a W 9 u M S 9 G U 0 Q v Q X V 0 b 1 J l b W 9 2 Z W R D b 2 x 1 b W 5 z M S 5 7 V G 9 0 Y W F s I G F h b n R h b C B k Z W V s b m V t Z X J z L D M 0 f S Z x d W 9 0 O y w m c X V v d D t T Z W N 0 a W 9 u M S 9 G U 0 Q v Q X V 0 b 1 J l b W 9 2 Z W R D b 2 x 1 b W 5 z M S 5 7 V 2 F h c n Z h b i B h Y W 5 0 Y W w g a m V 1 Z 2 Q g K H Q v b S A x N S B q Y W F y K S w z N X 0 m c X V v d D s s J n F 1 b 3 Q 7 U 2 V j d G l v b j E v R l N E L 0 F 1 d G 9 S Z W 1 v d m V k Q 2 9 s d W 1 u c z E u e 0 t h b m 9 u I G V 0 Y y 4 s M z Z 9 J n F 1 b 3 Q 7 L C Z x d W 9 0 O 1 N l Y 3 R p b 2 4 x L 0 Z T R C 9 B d X R v U m V t b 3 Z l Z E N v b H V t b n M x L n t Q Y W F y Z G V u I G V u L 2 9 m I G t v Z X R z Z W 4 s M z d 9 J n F 1 b 3 Q 7 L C Z x d W 9 0 O 1 N l Y 3 R p b 2 4 x L 0 Z T R C 9 B d X R v U m V t b 3 Z l Z E N v b H V t b n M x L n t U b 2 V s a W N o d G l u Z y 9 v c G 1 l c m t p b m d l b i w z O H 0 m c X V v d D s s J n F 1 b 3 Q 7 U 2 V j d G l v b j E v R l N E L 0 F 1 d G 9 S Z W 1 v d m V k Q 2 9 s d W 1 u c z E u e 0 l u e m V u Z G l u Z y 1 J R C w z O X 0 m c X V v d D s s J n F 1 b 3 Q 7 U 2 V j d G l v b j E v R l N E L 0 F 1 d G 9 S Z W 1 v d m V k Q 2 9 s d W 1 u c z E u e 0 l u e m V u Z G R h d H V t L D Q w f S Z x d W 9 0 O y w m c X V v d D t T Z W N 0 a W 9 u M S 9 G U 0 Q v Q X V 0 b 1 J l b W 9 2 Z W R D b 2 x 1 b W 5 z M S 5 7 R G F 0 Z S B V c G R h d G V k L D Q x f S Z x d W 9 0 O y w m c X V v d D t T Z W N 0 a W 9 u M S 9 G U 0 Q v Q X V 0 b 1 J l b W 9 2 Z W R D b 2 x 1 b W 5 z M S 5 7 T m F h b S B 2 Y W 4 g a G V 0 I G h v b 2 Z k a 2 9 y c H M s N D J 9 J n F 1 b 3 Q 7 L C Z x d W 9 0 O 1 N l Y 3 R p b 2 4 x L 0 Z T R C 9 B d X R v U m V t b 3 Z l Z E N v b H V t b n M x L n t a Y W w g b 3 A g d H J l Z G V u I G F s c y A o a G 9 v Z m R r b 3 J w c y k s N D N 9 J n F 1 b 3 Q 7 L C Z x d W 9 0 O 1 N l Y 3 R p b 2 4 x L 0 Z T R C 9 B d X R v U m V t b 3 Z l Z E N v b H V t b n M x L n t W b 3 J t I H Z h b i B 0 d 2 V l I G 1 1 e m l l a 3 d l c m t l b i A o a G 9 v Z m R r b 3 J w c y k s N D R 9 J n F 1 b 3 Q 7 L C Z x d W 9 0 O 1 N l Y 3 R p b 2 4 x L 0 Z T R C 9 B d X R v U m V t b 3 Z l Z E N v b H V t b n M x L n t a Y W w g d W l 0 a 2 9 t Z W 4 g a W 4 g Z G U 6 I C h o b 2 9 m Z G t v c n B z K S w 0 N X 0 m c X V v d D s s J n F 1 b 3 Q 7 U 2 V j d G l v b j E v R l N E L 0 F 1 d G 9 S Z W 1 v d m V k Q 2 9 s d W 1 u c z E u e 0 1 1 e m l l a 3 d l c m s x I C h o b 2 9 m Z G t v c n B z K S w 0 N n 0 m c X V v d D s s J n F 1 b 3 Q 7 U 2 V j d G l v b j E v R l N E L 0 F 1 d G 9 S Z W 1 v d m V k Q 2 9 s d W 1 u c z E u e 0 1 1 e m l l a 3 d l c m s y I C h o b 2 9 m Z G t v c n B z K S w 0 N 3 0 m c X V v d D s s J n F 1 b 3 Q 7 U 2 V j d G l v b j E v R l N E L 0 F 1 d G 9 S Z W 1 v d m V k Q 2 9 s d W 1 u c z E u e 0 t v c n B z I G J l c 3 R h Y X Q g d W l 0 I C 4 u L i B k Z W V s b m V t Z X J z I C h o b 2 9 m Z G t v c n B z K S w 0 O H 0 m c X V v d D s s J n F 1 b 3 Q 7 U 2 V j d G l v b j E v R l N E L 0 F 1 d G 9 S Z W 1 v d m V k Q 2 9 s d W 1 u c z E u e 1 d v c m R 0 I G V y I G d l Y n J 1 a W s g Z 2 V t Y W F r d C B 2 Y W 4 g b W V j a G F u a X N j a G U g b X V 6 a W V r P y w 0 O X 0 m c X V v d D s s J n F 1 b 3 Q 7 U 2 V j d G l v b j E v R l N E L 0 F 1 d G 9 S Z W 1 v d m V k Q 2 9 s d W 1 u c z E u e 0 9 u Z G V y Z G V s Z W 4 s N T B 9 J n F 1 b 3 Q 7 L C Z x d W 9 0 O 1 N l Y 3 R p b 2 4 x L 0 Z T R C 9 B d X R v U m V t b 3 Z l Z E N v b H V t b n M x L n t T Z W N 0 a W V z L D U x f S Z x d W 9 0 O y w m c X V v d D t T Z W N 0 a W 9 u M S 9 G U 0 Q v Q X V 0 b 1 J l b W 9 2 Z W R D b 2 x 1 b W 5 z M S 5 7 T G V l Z n R p a m R z Y 2 F 0 Z W d v c m l l L D U y f S Z x d W 9 0 O 1 0 s J n F 1 b 3 Q 7 U m V s Y X R p b 2 5 z a G l w S W 5 m b y Z x d W 9 0 O z p b X X 0 i I C 8 + P E V u d H J 5 I F R 5 c G U 9 I k F k Z G V k V G 9 E Y X R h T W 9 k Z W w i I F Z h b H V l P S J s M C I g L z 4 8 L 1 N 0 Y W J s Z U V u d H J p Z X M + P C 9 J d G V t P j x J d G V t P j x J d G V t T G 9 j Y X R p b 2 4 + P E l 0 Z W 1 U e X B l P k Z v c m 1 1 b G E 8 L 0 l 0 Z W 1 U e X B l P j x J d G V t U G F 0 a D 5 T Z W N 0 a W 9 u M S 9 L R F J 2 T k I 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z g 2 N 2 M 5 M T M t Z W R j Z i 0 0 O T I 5 L T k 4 Z m M t Y T A y M D R l Z D M 2 O W F l I i A v P j x F b n R y e S B U e X B l P S J S Z W N v d m V y e V R h c m d l d E N v b H V t b i I g V m F s d W U 9 I m w x I i A v P j x F b n R y e S B U e X B l P S J S Z W N v d m V y e V R h c m d l d F J v d y I g V m F s d W U 9 I m w 2 I i A v P j x F b n R y e S B U e X B l P S J S Z W N v d m V y e V R h c m d l d F N o Z W V 0 I i B W Y W x 1 Z T 0 i c 0 t E U n Z O Q i I g L z 4 8 R W 5 0 c n k g V H l w Z T 0 i U m V z d W x 0 V H l w Z S I g V m F s d W U 9 I n N U Y W J s Z S I g L z 4 8 R W 5 0 c n k g V H l w Z T 0 i T m F 2 a W d h d G l v b l N 0 Z X B O Y W 1 l I i B W Y W x 1 Z T 0 i c 0 5 h d m l n Y X R p Z S I g L z 4 8 R W 5 0 c n k g V H l w Z T 0 i R m l s b E 9 i a m V j d F R 5 c G U i I F Z h b H V l P S J z V G F i b G U i I C 8 + P E V u d H J 5 I F R 5 c G U 9 I k 5 h b W V V c G R h d G V k Q W Z 0 Z X J G a W x s I i B W Y W x 1 Z T 0 i b D A i I C 8 + P E V u d H J 5 I F R 5 c G U 9 I k Z p b G x U Y X J n Z X Q i I F Z h b H V l P S J z S 0 R S d k 5 C I i A v P j x F b n R y e S B U e X B l P S J M b 2 F k Z W R U b 0 F u Y W x 5 c 2 l z U 2 V y d m l j Z X M i I F Z h b H V l P S J s M C I g L z 4 8 R W 5 0 c n k g V H l w Z T 0 i T G 9 h Z F R v U m V w b 3 J 0 R G l z Y W J s Z W Q i I F Z h b H V l P S J s M C I g L z 4 8 R W 5 0 c n k g V H l w Z T 0 i R m l s b E x h c 3 R V c G R h d G V k I i B W Y W x 1 Z T 0 i Z D I w M j Y t M D E t M D F U M D k 6 M z A 6 M j g u M T Q y O D Y z M F o i I C 8 + P E V u d H J 5 I F R 5 c G U 9 I k Z p b G x D b 2 x 1 b W 5 U e X B l c y I g V m F s d W U 9 I n N C Z 1 l H Q m d Z R 0 J n W U R B d 0 1 E Q X d N R E F 3 T U R B d 0 1 H Q X d N R E F 3 T U R B d 1 l E Q X d N R E F 3 T U R C Z 1 l H Q m d j S E J n W U d C Z 1 l H Q X d Z R 0 J n W T 0 i I C 8 + P E V u d H J 5 I F R 5 c G U 9 I k Z p b G x F c n J v c k N v d W 5 0 I i B W Y W x 1 Z T 0 i b D A i I C 8 + P E V u d H J 5 I F R 5 c G U 9 I k Z p b G x D b 2 x 1 b W 5 O Y W 1 l c y I g V m F s d W U 9 I n N b J n F 1 b 3 Q 7 S 3 J p b m d k Y W c m c X V v d D s s J n F 1 b 3 Q 7 V m V y L m 5 y L i Z x d W 9 0 O y w m c X V v d D t O Y W F t I H Z l c m V u a W d p b m c m c X V v d D s s J n F 1 b 3 Q 7 R G V s Z W d h d G l l J n F 1 b 3 Q 7 L C Z x d W 9 0 O 0 1 1 e m l l a 2 t v c n B z I H R p a m R l b n M g b W F y c y B l b i B k Z W Z p b F x 1 M D B F O S Z x d W 9 0 O y w m c X V v d D t E Z W V s b m F t Z S B q Z X V n Z G t v b m l u Z 3 N j a G l l d G V u J n F 1 b 3 Q 7 L C Z x d W 9 0 O 0 1 h a i 4 g U 2 V u a W 9 y Z W 4 g a n V y Z X J l b i B i a W o g b W F y c y Z x d W 9 0 O y w m c X V v d D t N Y W o u I E p l d W d k I G p 1 c m V y Z W 4 g Y m l q I G 1 h c n M m c X V v d D s s J n F 1 b 3 Q 7 S 2 9 y c H M g c 2 V u a W 9 y Z W 4 m c X V v d D s s J n F 1 b 3 Q 7 S n V u a W 9 y Z W 4 g a 2 9 y c H M g M S Z x d W 9 0 O y w m c X V v d D t K d W 5 p b 3 J l b i B r b 3 J w c y A y J n F 1 b 3 Q 7 L C Z x d W 9 0 O 0 F z c G l y Y W 5 0 Z W 4 g a 2 9 y c H M g M S Z x d W 9 0 O y w m c X V v d D t B c 3 B p c m F u d G V u I G t v c n B z I D I m c X V v d D s s J n F 1 b 3 Q 7 Q W N y b 2 J h d G l z Y 2 g g c 2 V u a W 9 y Z W 4 m c X V v d D s s J n F 1 b 3 Q 7 Q W N y b 2 J h d G l z Y 2 g g a n V u a W 9 y Z W 4 m c X V v d D s s J n F 1 b 3 Q 7 Q W N y b 2 J h d G l z Y 2 g g Y X N w a X J h b n R l b i Z x d W 9 0 O y w m c X V v d D t P c G d l d m V u I H Z l b m R l b G l l c n M g a W 5 k L i Z x d W 9 0 O y w m c X V v d D t B Y 3 J v Y i 4 g c 2 V u a W 9 y Z W 4 g a W 5 k a X Y u J n F 1 b 3 Q 7 L C Z x d W 9 0 O 0 F j c m 9 i L i B q d W 5 p b 3 J l b i B p b m R p d i 4 m c X V v d D s s J n F 1 b 3 Q 7 Q W N y b 2 I u I G F z c G l y Y W 5 0 Z W 4 g a W 5 k a X Y u J n F 1 b 3 Q 7 L C Z x d W 9 0 O 0 R l Z W x u Y W 1 l I G h v b 2 Z k a 2 9 y c H M m c X V v d D s s J n F 1 b 3 Q 7 R 3 J v Z X B l b i w g d G V h b X M s I G V u c 2 V t Y m x l c y B l b i B k d W 9 c d T A w M j d z J n F 1 b 3 Q 7 L C Z x d W 9 0 O 0 F h b n R h b C B v c G d l Z 2 V 2 Z W 4 g b W F q b 3 J l d H R l c y Z x d W 9 0 O y w m c X V v d D t P c G d l d m V u I G J p Z W x l b W F u b m V u J n F 1 b 3 Q 7 L C Z x d W 9 0 O 1 N l b m l v c m V u J n F 1 b 3 Q 7 L C Z x d W 9 0 O 0 p v b m c g V m 9 s d 2 F z c 2 V u Z S Z x d W 9 0 O y w m c X V v d D t K d W 5 p b 3 J l b i Z x d W 9 0 O y w m c X V v d D t B c 3 B p c m F u d G V u J n F 1 b 3 Q 7 L C Z x d W 9 0 O 0 R l Z W x u Y W 1 l I G 1 h c m t l d G V u d H N 0 Z X J z J n F 1 b 3 Q 7 L C Z x d W 9 0 O 0 F h b n R h b C B s d W N o d G d l d 2 V l c n N j a H V 0 d G V y c y Z x d W 9 0 O y w m c X V v d D t B Y W 5 0 Y W w g b H V j a H R w a X N 0 b 2 9 s c 2 N o d X R 0 Z X J z J n F 1 b 3 Q 7 L C Z x d W 9 0 O 0 F h b n R h b C B o Y W 5 k Y m 9 v Z 3 N j a H V 0 d G V y c y Z x d W 9 0 O y w m c X V v d D t B Y W 5 0 Y W w g a 3 J 1 a X N i b 2 9 n c 2 N o d X R 0 Z X J z J n F 1 b 3 Q 7 L C Z x d W 9 0 O y h B Y W 5 0 Y W w g a m V 1 Z 2 R r b 3 J w c 2 V u J n F 1 b 3 Q 7 L C Z x d W 9 0 O 1 R v d G F h b C B h Y W 5 0 Y W w g Z G V l b G 5 l b W V y c y Z x d W 9 0 O y w m c X V v d D t X Y W F y d m F u I G F h b n R h b C B q Z X V n Z C A o d C 9 t I D E 1 I G p h Y X I p J n F 1 b 3 Q 7 L C Z x d W 9 0 O 0 t h b m 9 u I G V 0 Y y 4 m c X V v d D s s J n F 1 b 3 Q 7 U G F h c m R l b i B l b i 9 v Z i B r b 2 V 0 c 2 V u J n F 1 b 3 Q 7 L C Z x d W 9 0 O 1 R v Z W x p Y 2 h 0 a W 5 n L 2 9 w b W V y a 2 l u Z 2 V u J n F 1 b 3 Q 7 L C Z x d W 9 0 O 0 l u e m V u Z G l u Z y 1 J R C Z x d W 9 0 O y w m c X V v d D t J b n p l b m R k Y X R 1 b S Z x d W 9 0 O y w m c X V v d D t E Y X R l I F V w Z G F 0 Z W Q m c X V v d D s s J n F 1 b 3 Q 7 T m F h b S B 2 Y W 4 g a G V 0 I G h v b 2 Z k a 2 9 y c H M m c X V v d D s s J n F 1 b 3 Q 7 W m F s I G 9 w I H R y Z W R l b i B h b H M g K G h v b 2 Z k a 2 9 y c H M p J n F 1 b 3 Q 7 L C Z x d W 9 0 O 1 Z v c m 0 g d m F u I H R 3 Z W U g b X V 6 a W V r d 2 V y a 2 V u I C h o b 2 9 m Z G t v c n B z K S Z x d W 9 0 O y w m c X V v d D t a Y W w g d W l 0 a 2 9 t Z W 4 g a W 4 g Z G U 6 I C h o b 2 9 m Z G t v c n B z K S Z x d W 9 0 O y w m c X V v d D t N d X p p Z W t 3 Z X J r M S A o a G 9 v Z m R r b 3 J w c y k m c X V v d D s s J n F 1 b 3 Q 7 T X V 6 a W V r d 2 V y a z I g K G h v b 2 Z k a 2 9 y c H M p J n F 1 b 3 Q 7 L C Z x d W 9 0 O 0 t v c n B z I G J l c 3 R h Y X Q g d W l 0 I C 4 u L i B k Z W V s b m V t Z X J z I C h o b 2 9 m Z G t v c n B z K S Z x d W 9 0 O y w m c X V v d D t X b 3 J k d C B l c i B n Z W J y d W l r I G d l b W F h a 3 Q g d m F u I G 1 l Y 2 h h b m l z Y 2 h l I G 1 1 e m l l a z 8 m c X V v d D s s J n F 1 b 3 Q 7 T 2 5 k Z X J k Z W x l b i Z x d W 9 0 O y w m c X V v d D t T Z W N 0 a W V z J n F 1 b 3 Q 7 L C Z x d W 9 0 O 0 x l Z W Z 0 a W p k c 2 N h d G V n b 3 J p Z S Z x d W 9 0 O 1 0 i I C 8 + P E V u d H J 5 I F R 5 c G U 9 I k Z p b G x F c n J v c k N v Z G U i I F Z h b H V l P S J z V W 5 r b m 9 3 b i I g L z 4 8 R W 5 0 c n k g V H l w Z T 0 i R m l s b F N 0 Y X R 1 c y I g V m F s d W U 9 I n N D b 2 1 w b G V 0 Z S I g L z 4 8 R W 5 0 c n k g V H l w Z T 0 i R m l s b E N v d W 5 0 I i B W Y W x 1 Z T 0 i b D E y I i A v P j x F b n R y e S B U e X B l P S J S Z W x h d G l v b n N o a X B J b m Z v Q 2 9 u d G F p b m V y I i B W Y W x 1 Z T 0 i c 3 s m c X V v d D t j b 2 x 1 b W 5 D b 3 V u d C Z x d W 9 0 O z o 1 M y w m c X V v d D t r Z X l D b 2 x 1 b W 5 O Y W 1 l c y Z x d W 9 0 O z p b X S w m c X V v d D t x d W V y e V J l b G F 0 a W 9 u c 2 h p c H M m c X V v d D s 6 W 1 0 s J n F 1 b 3 Q 7 Y 2 9 s d W 1 u S W R l b n R p d G l l c y Z x d W 9 0 O z p b J n F 1 b 3 Q 7 U 2 V j d G l v b j E v S 0 R S d k 5 C L 0 F 1 d G 9 S Z W 1 v d m V k Q 2 9 s d W 1 u c z E u e 0 t y a W 5 n Z G F n L D B 9 J n F 1 b 3 Q 7 L C Z x d W 9 0 O 1 N l Y 3 R p b 2 4 x L 0 t E U n Z O Q i 9 B d X R v U m V t b 3 Z l Z E N v b H V t b n M x L n t W Z X I u b n I u L D F 9 J n F 1 b 3 Q 7 L C Z x d W 9 0 O 1 N l Y 3 R p b 2 4 x L 0 t E U n Z O Q i 9 B d X R v U m V t b 3 Z l Z E N v b H V t b n M x L n t O Y W F t I H Z l c m V u a W d p b m c s M n 0 m c X V v d D s s J n F 1 b 3 Q 7 U 2 V j d G l v b j E v S 0 R S d k 5 C L 0 F 1 d G 9 S Z W 1 v d m V k Q 2 9 s d W 1 u c z E u e 0 R l b G V n Y X R p Z S w z f S Z x d W 9 0 O y w m c X V v d D t T Z W N 0 a W 9 u M S 9 L R F J 2 T k I v Q X V 0 b 1 J l b W 9 2 Z W R D b 2 x 1 b W 5 z M S 5 7 T X V 6 a W V r a 2 9 y c H M g d G l q Z G V u c y B t Y X J z I G V u I G R l Z m l s X H U w M E U 5 L D R 9 J n F 1 b 3 Q 7 L C Z x d W 9 0 O 1 N l Y 3 R p b 2 4 x L 0 t E U n Z O Q i 9 B d X R v U m V t b 3 Z l Z E N v b H V t b n M x L n t E Z W V s b m F t Z S B q Z X V n Z G t v b m l u Z 3 N j a G l l d G V u L D V 9 J n F 1 b 3 Q 7 L C Z x d W 9 0 O 1 N l Y 3 R p b 2 4 x L 0 t E U n Z O Q i 9 B d X R v U m V t b 3 Z l Z E N v b H V t b n M x L n t N Y W o u I F N l b m l v c m V u I G p 1 c m V y Z W 4 g Y m l q I G 1 h c n M s N n 0 m c X V v d D s s J n F 1 b 3 Q 7 U 2 V j d G l v b j E v S 0 R S d k 5 C L 0 F 1 d G 9 S Z W 1 v d m V k Q 2 9 s d W 1 u c z E u e 0 1 h a i 4 g S m V 1 Z 2 Q g a n V y Z X J l b i B i a W o g b W F y c y w 3 f S Z x d W 9 0 O y w m c X V v d D t T Z W N 0 a W 9 u M S 9 L R F J 2 T k I v Q X V 0 b 1 J l b W 9 2 Z W R D b 2 x 1 b W 5 z M S 5 7 S 2 9 y c H M g c 2 V u a W 9 y Z W 4 s O H 0 m c X V v d D s s J n F 1 b 3 Q 7 U 2 V j d G l v b j E v S 0 R S d k 5 C L 0 F 1 d G 9 S Z W 1 v d m V k Q 2 9 s d W 1 u c z E u e 0 p 1 b m l v c m V u I G t v c n B z I D E s O X 0 m c X V v d D s s J n F 1 b 3 Q 7 U 2 V j d G l v b j E v S 0 R S d k 5 C L 0 F 1 d G 9 S Z W 1 v d m V k Q 2 9 s d W 1 u c z E u e 0 p 1 b m l v c m V u I G t v c n B z I D I s M T B 9 J n F 1 b 3 Q 7 L C Z x d W 9 0 O 1 N l Y 3 R p b 2 4 x L 0 t E U n Z O Q i 9 B d X R v U m V t b 3 Z l Z E N v b H V t b n M x L n t B c 3 B p c m F u d G V u I G t v c n B z I D E s M T F 9 J n F 1 b 3 Q 7 L C Z x d W 9 0 O 1 N l Y 3 R p b 2 4 x L 0 t E U n Z O Q i 9 B d X R v U m V t b 3 Z l Z E N v b H V t b n M x L n t B c 3 B p c m F u d G V u I G t v c n B z I D I s M T J 9 J n F 1 b 3 Q 7 L C Z x d W 9 0 O 1 N l Y 3 R p b 2 4 x L 0 t E U n Z O Q i 9 B d X R v U m V t b 3 Z l Z E N v b H V t b n M x L n t B Y 3 J v Y m F 0 a X N j a C B z Z W 5 p b 3 J l b i w x M 3 0 m c X V v d D s s J n F 1 b 3 Q 7 U 2 V j d G l v b j E v S 0 R S d k 5 C L 0 F 1 d G 9 S Z W 1 v d m V k Q 2 9 s d W 1 u c z E u e 0 F j c m 9 i Y X R p c 2 N o I G p 1 b m l v c m V u L D E 0 f S Z x d W 9 0 O y w m c X V v d D t T Z W N 0 a W 9 u M S 9 L R F J 2 T k I v Q X V 0 b 1 J l b W 9 2 Z W R D b 2 x 1 b W 5 z M S 5 7 Q W N y b 2 J h d G l z Y 2 g g Y X N w a X J h b n R l b i w x N X 0 m c X V v d D s s J n F 1 b 3 Q 7 U 2 V j d G l v b j E v S 0 R S d k 5 C L 0 F 1 d G 9 S Z W 1 v d m V k Q 2 9 s d W 1 u c z E u e 0 9 w Z 2 V 2 Z W 4 g d m V u Z G V s a W V y c y B p b m Q u L D E 2 f S Z x d W 9 0 O y w m c X V v d D t T Z W N 0 a W 9 u M S 9 L R F J 2 T k I v Q X V 0 b 1 J l b W 9 2 Z W R D b 2 x 1 b W 5 z M S 5 7 Q W N y b 2 I u I H N l b m l v c m V u I G l u Z G l 2 L i w x N 3 0 m c X V v d D s s J n F 1 b 3 Q 7 U 2 V j d G l v b j E v S 0 R S d k 5 C L 0 F 1 d G 9 S Z W 1 v d m V k Q 2 9 s d W 1 u c z E u e 0 F j c m 9 i L i B q d W 5 p b 3 J l b i B p b m R p d i 4 s M T h 9 J n F 1 b 3 Q 7 L C Z x d W 9 0 O 1 N l Y 3 R p b 2 4 x L 0 t E U n Z O Q i 9 B d X R v U m V t b 3 Z l Z E N v b H V t b n M x L n t B Y 3 J v Y i 4 g Y X N w a X J h b n R l b i B p b m R p d i 4 s M T l 9 J n F 1 b 3 Q 7 L C Z x d W 9 0 O 1 N l Y 3 R p b 2 4 x L 0 t E U n Z O Q i 9 B d X R v U m V t b 3 Z l Z E N v b H V t b n M x L n t E Z W V s b m F t Z S B o b 2 9 m Z G t v c n B z L D I w f S Z x d W 9 0 O y w m c X V v d D t T Z W N 0 a W 9 u M S 9 L R F J 2 T k I v Q X V 0 b 1 J l b W 9 2 Z W R D b 2 x 1 b W 5 z M S 5 7 R 3 J v Z X B l b i w g d G V h b X M s I G V u c 2 V t Y m x l c y B l b i B k d W 9 c d T A w M j d z L D I x f S Z x d W 9 0 O y w m c X V v d D t T Z W N 0 a W 9 u M S 9 L R F J 2 T k I v Q X V 0 b 1 J l b W 9 2 Z W R D b 2 x 1 b W 5 z M S 5 7 Q W F u d G F s I G 9 w Z 2 V n Z X Z l b i B t Y W p v c m V 0 d G V z L D I y f S Z x d W 9 0 O y w m c X V v d D t T Z W N 0 a W 9 u M S 9 L R F J 2 T k I v Q X V 0 b 1 J l b W 9 2 Z W R D b 2 x 1 b W 5 z M S 5 7 T 3 B n Z X Z l b i B i a W V s Z W 1 h b m 5 l b i w y M 3 0 m c X V v d D s s J n F 1 b 3 Q 7 U 2 V j d G l v b j E v S 0 R S d k 5 C L 0 F 1 d G 9 S Z W 1 v d m V k Q 2 9 s d W 1 u c z E u e 1 N l b m l v c m V u L D I 0 f S Z x d W 9 0 O y w m c X V v d D t T Z W N 0 a W 9 u M S 9 L R F J 2 T k I v Q X V 0 b 1 J l b W 9 2 Z W R D b 2 x 1 b W 5 z M S 5 7 S m 9 u Z y B W b 2 x 3 Y X N z Z W 5 l L D I 1 f S Z x d W 9 0 O y w m c X V v d D t T Z W N 0 a W 9 u M S 9 L R F J 2 T k I v Q X V 0 b 1 J l b W 9 2 Z W R D b 2 x 1 b W 5 z M S 5 7 S n V u a W 9 y Z W 4 s M j Z 9 J n F 1 b 3 Q 7 L C Z x d W 9 0 O 1 N l Y 3 R p b 2 4 x L 0 t E U n Z O Q i 9 B d X R v U m V t b 3 Z l Z E N v b H V t b n M x L n t B c 3 B p c m F u d G V u L D I 3 f S Z x d W 9 0 O y w m c X V v d D t T Z W N 0 a W 9 u M S 9 L R F J 2 T k I v Q X V 0 b 1 J l b W 9 2 Z W R D b 2 x 1 b W 5 z M S 5 7 R G V l b G 5 h b W U g b W F y a 2 V 0 Z W 5 0 c 3 R l c n M s M j h 9 J n F 1 b 3 Q 7 L C Z x d W 9 0 O 1 N l Y 3 R p b 2 4 x L 0 t E U n Z O Q i 9 B d X R v U m V t b 3 Z l Z E N v b H V t b n M x L n t B Y W 5 0 Y W w g b H V j a H R n Z X d l Z X J z Y 2 h 1 d H R l c n M s M j l 9 J n F 1 b 3 Q 7 L C Z x d W 9 0 O 1 N l Y 3 R p b 2 4 x L 0 t E U n Z O Q i 9 B d X R v U m V t b 3 Z l Z E N v b H V t b n M x L n t B Y W 5 0 Y W w g b H V j a H R w a X N 0 b 2 9 s c 2 N o d X R 0 Z X J z L D M w f S Z x d W 9 0 O y w m c X V v d D t T Z W N 0 a W 9 u M S 9 L R F J 2 T k I v Q X V 0 b 1 J l b W 9 2 Z W R D b 2 x 1 b W 5 z M S 5 7 Q W F u d G F s I G h h b m R i b 2 9 n c 2 N o d X R 0 Z X J z L D M x f S Z x d W 9 0 O y w m c X V v d D t T Z W N 0 a W 9 u M S 9 L R F J 2 T k I v Q X V 0 b 1 J l b W 9 2 Z W R D b 2 x 1 b W 5 z M S 5 7 Q W F u d G F s I G t y d W l z Y m 9 v Z 3 N j a H V 0 d G V y c y w z M n 0 m c X V v d D s s J n F 1 b 3 Q 7 U 2 V j d G l v b j E v S 0 R S d k 5 C L 0 F 1 d G 9 S Z W 1 v d m V k Q 2 9 s d W 1 u c z E u e y h B Y W 5 0 Y W w g a m V 1 Z 2 R r b 3 J w c 2 V u L D M z f S Z x d W 9 0 O y w m c X V v d D t T Z W N 0 a W 9 u M S 9 L R F J 2 T k I v Q X V 0 b 1 J l b W 9 2 Z W R D b 2 x 1 b W 5 z M S 5 7 V G 9 0 Y W F s I G F h b n R h b C B k Z W V s b m V t Z X J z L D M 0 f S Z x d W 9 0 O y w m c X V v d D t T Z W N 0 a W 9 u M S 9 L R F J 2 T k I v Q X V 0 b 1 J l b W 9 2 Z W R D b 2 x 1 b W 5 z M S 5 7 V 2 F h c n Z h b i B h Y W 5 0 Y W w g a m V 1 Z 2 Q g K H Q v b S A x N S B q Y W F y K S w z N X 0 m c X V v d D s s J n F 1 b 3 Q 7 U 2 V j d G l v b j E v S 0 R S d k 5 C L 0 F 1 d G 9 S Z W 1 v d m V k Q 2 9 s d W 1 u c z E u e 0 t h b m 9 u I G V 0 Y y 4 s M z Z 9 J n F 1 b 3 Q 7 L C Z x d W 9 0 O 1 N l Y 3 R p b 2 4 x L 0 t E U n Z O Q i 9 B d X R v U m V t b 3 Z l Z E N v b H V t b n M x L n t Q Y W F y Z G V u I G V u L 2 9 m I G t v Z X R z Z W 4 s M z d 9 J n F 1 b 3 Q 7 L C Z x d W 9 0 O 1 N l Y 3 R p b 2 4 x L 0 t E U n Z O Q i 9 B d X R v U m V t b 3 Z l Z E N v b H V t b n M x L n t U b 2 V s a W N o d G l u Z y 9 v c G 1 l c m t p b m d l b i w z O H 0 m c X V v d D s s J n F 1 b 3 Q 7 U 2 V j d G l v b j E v S 0 R S d k 5 C L 0 F 1 d G 9 S Z W 1 v d m V k Q 2 9 s d W 1 u c z E u e 0 l u e m V u Z G l u Z y 1 J R C w z O X 0 m c X V v d D s s J n F 1 b 3 Q 7 U 2 V j d G l v b j E v S 0 R S d k 5 C L 0 F 1 d G 9 S Z W 1 v d m V k Q 2 9 s d W 1 u c z E u e 0 l u e m V u Z G R h d H V t L D Q w f S Z x d W 9 0 O y w m c X V v d D t T Z W N 0 a W 9 u M S 9 L R F J 2 T k I v Q X V 0 b 1 J l b W 9 2 Z W R D b 2 x 1 b W 5 z M S 5 7 R G F 0 Z S B V c G R h d G V k L D Q x f S Z x d W 9 0 O y w m c X V v d D t T Z W N 0 a W 9 u M S 9 L R F J 2 T k I v Q X V 0 b 1 J l b W 9 2 Z W R D b 2 x 1 b W 5 z M S 5 7 T m F h b S B 2 Y W 4 g a G V 0 I G h v b 2 Z k a 2 9 y c H M s N D J 9 J n F 1 b 3 Q 7 L C Z x d W 9 0 O 1 N l Y 3 R p b 2 4 x L 0 t E U n Z O Q i 9 B d X R v U m V t b 3 Z l Z E N v b H V t b n M x L n t a Y W w g b 3 A g d H J l Z G V u I G F s c y A o a G 9 v Z m R r b 3 J w c y k s N D N 9 J n F 1 b 3 Q 7 L C Z x d W 9 0 O 1 N l Y 3 R p b 2 4 x L 0 t E U n Z O Q i 9 B d X R v U m V t b 3 Z l Z E N v b H V t b n M x L n t W b 3 J t I H Z h b i B 0 d 2 V l I G 1 1 e m l l a 3 d l c m t l b i A o a G 9 v Z m R r b 3 J w c y k s N D R 9 J n F 1 b 3 Q 7 L C Z x d W 9 0 O 1 N l Y 3 R p b 2 4 x L 0 t E U n Z O Q i 9 B d X R v U m V t b 3 Z l Z E N v b H V t b n M x L n t a Y W w g d W l 0 a 2 9 t Z W 4 g a W 4 g Z G U 6 I C h o b 2 9 m Z G t v c n B z K S w 0 N X 0 m c X V v d D s s J n F 1 b 3 Q 7 U 2 V j d G l v b j E v S 0 R S d k 5 C L 0 F 1 d G 9 S Z W 1 v d m V k Q 2 9 s d W 1 u c z E u e 0 1 1 e m l l a 3 d l c m s x I C h o b 2 9 m Z G t v c n B z K S w 0 N n 0 m c X V v d D s s J n F 1 b 3 Q 7 U 2 V j d G l v b j E v S 0 R S d k 5 C L 0 F 1 d G 9 S Z W 1 v d m V k Q 2 9 s d W 1 u c z E u e 0 1 1 e m l l a 3 d l c m s y I C h o b 2 9 m Z G t v c n B z K S w 0 N 3 0 m c X V v d D s s J n F 1 b 3 Q 7 U 2 V j d G l v b j E v S 0 R S d k 5 C L 0 F 1 d G 9 S Z W 1 v d m V k Q 2 9 s d W 1 u c z E u e 0 t v c n B z I G J l c 3 R h Y X Q g d W l 0 I C 4 u L i B k Z W V s b m V t Z X J z I C h o b 2 9 m Z G t v c n B z K S w 0 O H 0 m c X V v d D s s J n F 1 b 3 Q 7 U 2 V j d G l v b j E v S 0 R S d k 5 C L 0 F 1 d G 9 S Z W 1 v d m V k Q 2 9 s d W 1 u c z E u e 1 d v c m R 0 I G V y I G d l Y n J 1 a W s g Z 2 V t Y W F r d C B 2 Y W 4 g b W V j a G F u a X N j a G U g b X V 6 a W V r P y w 0 O X 0 m c X V v d D s s J n F 1 b 3 Q 7 U 2 V j d G l v b j E v S 0 R S d k 5 C L 0 F 1 d G 9 S Z W 1 v d m V k Q 2 9 s d W 1 u c z E u e 0 9 u Z G V y Z G V s Z W 4 s N T B 9 J n F 1 b 3 Q 7 L C Z x d W 9 0 O 1 N l Y 3 R p b 2 4 x L 0 t E U n Z O Q i 9 B d X R v U m V t b 3 Z l Z E N v b H V t b n M x L n t T Z W N 0 a W V z L D U x f S Z x d W 9 0 O y w m c X V v d D t T Z W N 0 a W 9 u M S 9 L R F J 2 T k I v Q X V 0 b 1 J l b W 9 2 Z W R D b 2 x 1 b W 5 z M S 5 7 T G V l Z n R p a m R z Y 2 F 0 Z W d v c m l l L D U y f S Z x d W 9 0 O 1 0 s J n F 1 b 3 Q 7 Q 2 9 s d W 1 u Q 2 9 1 b n Q m c X V v d D s 6 N T M s J n F 1 b 3 Q 7 S 2 V 5 Q 2 9 s d W 1 u T m F t Z X M m c X V v d D s 6 W 1 0 s J n F 1 b 3 Q 7 Q 2 9 s d W 1 u S W R l b n R p d G l l c y Z x d W 9 0 O z p b J n F 1 b 3 Q 7 U 2 V j d G l v b j E v S 0 R S d k 5 C L 0 F 1 d G 9 S Z W 1 v d m V k Q 2 9 s d W 1 u c z E u e 0 t y a W 5 n Z G F n L D B 9 J n F 1 b 3 Q 7 L C Z x d W 9 0 O 1 N l Y 3 R p b 2 4 x L 0 t E U n Z O Q i 9 B d X R v U m V t b 3 Z l Z E N v b H V t b n M x L n t W Z X I u b n I u L D F 9 J n F 1 b 3 Q 7 L C Z x d W 9 0 O 1 N l Y 3 R p b 2 4 x L 0 t E U n Z O Q i 9 B d X R v U m V t b 3 Z l Z E N v b H V t b n M x L n t O Y W F t I H Z l c m V u a W d p b m c s M n 0 m c X V v d D s s J n F 1 b 3 Q 7 U 2 V j d G l v b j E v S 0 R S d k 5 C L 0 F 1 d G 9 S Z W 1 v d m V k Q 2 9 s d W 1 u c z E u e 0 R l b G V n Y X R p Z S w z f S Z x d W 9 0 O y w m c X V v d D t T Z W N 0 a W 9 u M S 9 L R F J 2 T k I v Q X V 0 b 1 J l b W 9 2 Z W R D b 2 x 1 b W 5 z M S 5 7 T X V 6 a W V r a 2 9 y c H M g d G l q Z G V u c y B t Y X J z I G V u I G R l Z m l s X H U w M E U 5 L D R 9 J n F 1 b 3 Q 7 L C Z x d W 9 0 O 1 N l Y 3 R p b 2 4 x L 0 t E U n Z O Q i 9 B d X R v U m V t b 3 Z l Z E N v b H V t b n M x L n t E Z W V s b m F t Z S B q Z X V n Z G t v b m l u Z 3 N j a G l l d G V u L D V 9 J n F 1 b 3 Q 7 L C Z x d W 9 0 O 1 N l Y 3 R p b 2 4 x L 0 t E U n Z O Q i 9 B d X R v U m V t b 3 Z l Z E N v b H V t b n M x L n t N Y W o u I F N l b m l v c m V u I G p 1 c m V y Z W 4 g Y m l q I G 1 h c n M s N n 0 m c X V v d D s s J n F 1 b 3 Q 7 U 2 V j d G l v b j E v S 0 R S d k 5 C L 0 F 1 d G 9 S Z W 1 v d m V k Q 2 9 s d W 1 u c z E u e 0 1 h a i 4 g S m V 1 Z 2 Q g a n V y Z X J l b i B i a W o g b W F y c y w 3 f S Z x d W 9 0 O y w m c X V v d D t T Z W N 0 a W 9 u M S 9 L R F J 2 T k I v Q X V 0 b 1 J l b W 9 2 Z W R D b 2 x 1 b W 5 z M S 5 7 S 2 9 y c H M g c 2 V u a W 9 y Z W 4 s O H 0 m c X V v d D s s J n F 1 b 3 Q 7 U 2 V j d G l v b j E v S 0 R S d k 5 C L 0 F 1 d G 9 S Z W 1 v d m V k Q 2 9 s d W 1 u c z E u e 0 p 1 b m l v c m V u I G t v c n B z I D E s O X 0 m c X V v d D s s J n F 1 b 3 Q 7 U 2 V j d G l v b j E v S 0 R S d k 5 C L 0 F 1 d G 9 S Z W 1 v d m V k Q 2 9 s d W 1 u c z E u e 0 p 1 b m l v c m V u I G t v c n B z I D I s M T B 9 J n F 1 b 3 Q 7 L C Z x d W 9 0 O 1 N l Y 3 R p b 2 4 x L 0 t E U n Z O Q i 9 B d X R v U m V t b 3 Z l Z E N v b H V t b n M x L n t B c 3 B p c m F u d G V u I G t v c n B z I D E s M T F 9 J n F 1 b 3 Q 7 L C Z x d W 9 0 O 1 N l Y 3 R p b 2 4 x L 0 t E U n Z O Q i 9 B d X R v U m V t b 3 Z l Z E N v b H V t b n M x L n t B c 3 B p c m F u d G V u I G t v c n B z I D I s M T J 9 J n F 1 b 3 Q 7 L C Z x d W 9 0 O 1 N l Y 3 R p b 2 4 x L 0 t E U n Z O Q i 9 B d X R v U m V t b 3 Z l Z E N v b H V t b n M x L n t B Y 3 J v Y m F 0 a X N j a C B z Z W 5 p b 3 J l b i w x M 3 0 m c X V v d D s s J n F 1 b 3 Q 7 U 2 V j d G l v b j E v S 0 R S d k 5 C L 0 F 1 d G 9 S Z W 1 v d m V k Q 2 9 s d W 1 u c z E u e 0 F j c m 9 i Y X R p c 2 N o I G p 1 b m l v c m V u L D E 0 f S Z x d W 9 0 O y w m c X V v d D t T Z W N 0 a W 9 u M S 9 L R F J 2 T k I v Q X V 0 b 1 J l b W 9 2 Z W R D b 2 x 1 b W 5 z M S 5 7 Q W N y b 2 J h d G l z Y 2 g g Y X N w a X J h b n R l b i w x N X 0 m c X V v d D s s J n F 1 b 3 Q 7 U 2 V j d G l v b j E v S 0 R S d k 5 C L 0 F 1 d G 9 S Z W 1 v d m V k Q 2 9 s d W 1 u c z E u e 0 9 w Z 2 V 2 Z W 4 g d m V u Z G V s a W V y c y B p b m Q u L D E 2 f S Z x d W 9 0 O y w m c X V v d D t T Z W N 0 a W 9 u M S 9 L R F J 2 T k I v Q X V 0 b 1 J l b W 9 2 Z W R D b 2 x 1 b W 5 z M S 5 7 Q W N y b 2 I u I H N l b m l v c m V u I G l u Z G l 2 L i w x N 3 0 m c X V v d D s s J n F 1 b 3 Q 7 U 2 V j d G l v b j E v S 0 R S d k 5 C L 0 F 1 d G 9 S Z W 1 v d m V k Q 2 9 s d W 1 u c z E u e 0 F j c m 9 i L i B q d W 5 p b 3 J l b i B p b m R p d i 4 s M T h 9 J n F 1 b 3 Q 7 L C Z x d W 9 0 O 1 N l Y 3 R p b 2 4 x L 0 t E U n Z O Q i 9 B d X R v U m V t b 3 Z l Z E N v b H V t b n M x L n t B Y 3 J v Y i 4 g Y X N w a X J h b n R l b i B p b m R p d i 4 s M T l 9 J n F 1 b 3 Q 7 L C Z x d W 9 0 O 1 N l Y 3 R p b 2 4 x L 0 t E U n Z O Q i 9 B d X R v U m V t b 3 Z l Z E N v b H V t b n M x L n t E Z W V s b m F t Z S B o b 2 9 m Z G t v c n B z L D I w f S Z x d W 9 0 O y w m c X V v d D t T Z W N 0 a W 9 u M S 9 L R F J 2 T k I v Q X V 0 b 1 J l b W 9 2 Z W R D b 2 x 1 b W 5 z M S 5 7 R 3 J v Z X B l b i w g d G V h b X M s I G V u c 2 V t Y m x l c y B l b i B k d W 9 c d T A w M j d z L D I x f S Z x d W 9 0 O y w m c X V v d D t T Z W N 0 a W 9 u M S 9 L R F J 2 T k I v Q X V 0 b 1 J l b W 9 2 Z W R D b 2 x 1 b W 5 z M S 5 7 Q W F u d G F s I G 9 w Z 2 V n Z X Z l b i B t Y W p v c m V 0 d G V z L D I y f S Z x d W 9 0 O y w m c X V v d D t T Z W N 0 a W 9 u M S 9 L R F J 2 T k I v Q X V 0 b 1 J l b W 9 2 Z W R D b 2 x 1 b W 5 z M S 5 7 T 3 B n Z X Z l b i B i a W V s Z W 1 h b m 5 l b i w y M 3 0 m c X V v d D s s J n F 1 b 3 Q 7 U 2 V j d G l v b j E v S 0 R S d k 5 C L 0 F 1 d G 9 S Z W 1 v d m V k Q 2 9 s d W 1 u c z E u e 1 N l b m l v c m V u L D I 0 f S Z x d W 9 0 O y w m c X V v d D t T Z W N 0 a W 9 u M S 9 L R F J 2 T k I v Q X V 0 b 1 J l b W 9 2 Z W R D b 2 x 1 b W 5 z M S 5 7 S m 9 u Z y B W b 2 x 3 Y X N z Z W 5 l L D I 1 f S Z x d W 9 0 O y w m c X V v d D t T Z W N 0 a W 9 u M S 9 L R F J 2 T k I v Q X V 0 b 1 J l b W 9 2 Z W R D b 2 x 1 b W 5 z M S 5 7 S n V u a W 9 y Z W 4 s M j Z 9 J n F 1 b 3 Q 7 L C Z x d W 9 0 O 1 N l Y 3 R p b 2 4 x L 0 t E U n Z O Q i 9 B d X R v U m V t b 3 Z l Z E N v b H V t b n M x L n t B c 3 B p c m F u d G V u L D I 3 f S Z x d W 9 0 O y w m c X V v d D t T Z W N 0 a W 9 u M S 9 L R F J 2 T k I v Q X V 0 b 1 J l b W 9 2 Z W R D b 2 x 1 b W 5 z M S 5 7 R G V l b G 5 h b W U g b W F y a 2 V 0 Z W 5 0 c 3 R l c n M s M j h 9 J n F 1 b 3 Q 7 L C Z x d W 9 0 O 1 N l Y 3 R p b 2 4 x L 0 t E U n Z O Q i 9 B d X R v U m V t b 3 Z l Z E N v b H V t b n M x L n t B Y W 5 0 Y W w g b H V j a H R n Z X d l Z X J z Y 2 h 1 d H R l c n M s M j l 9 J n F 1 b 3 Q 7 L C Z x d W 9 0 O 1 N l Y 3 R p b 2 4 x L 0 t E U n Z O Q i 9 B d X R v U m V t b 3 Z l Z E N v b H V t b n M x L n t B Y W 5 0 Y W w g b H V j a H R w a X N 0 b 2 9 s c 2 N o d X R 0 Z X J z L D M w f S Z x d W 9 0 O y w m c X V v d D t T Z W N 0 a W 9 u M S 9 L R F J 2 T k I v Q X V 0 b 1 J l b W 9 2 Z W R D b 2 x 1 b W 5 z M S 5 7 Q W F u d G F s I G h h b m R i b 2 9 n c 2 N o d X R 0 Z X J z L D M x f S Z x d W 9 0 O y w m c X V v d D t T Z W N 0 a W 9 u M S 9 L R F J 2 T k I v Q X V 0 b 1 J l b W 9 2 Z W R D b 2 x 1 b W 5 z M S 5 7 Q W F u d G F s I G t y d W l z Y m 9 v Z 3 N j a H V 0 d G V y c y w z M n 0 m c X V v d D s s J n F 1 b 3 Q 7 U 2 V j d G l v b j E v S 0 R S d k 5 C L 0 F 1 d G 9 S Z W 1 v d m V k Q 2 9 s d W 1 u c z E u e y h B Y W 5 0 Y W w g a m V 1 Z 2 R r b 3 J w c 2 V u L D M z f S Z x d W 9 0 O y w m c X V v d D t T Z W N 0 a W 9 u M S 9 L R F J 2 T k I v Q X V 0 b 1 J l b W 9 2 Z W R D b 2 x 1 b W 5 z M S 5 7 V G 9 0 Y W F s I G F h b n R h b C B k Z W V s b m V t Z X J z L D M 0 f S Z x d W 9 0 O y w m c X V v d D t T Z W N 0 a W 9 u M S 9 L R F J 2 T k I v Q X V 0 b 1 J l b W 9 2 Z W R D b 2 x 1 b W 5 z M S 5 7 V 2 F h c n Z h b i B h Y W 5 0 Y W w g a m V 1 Z 2 Q g K H Q v b S A x N S B q Y W F y K S w z N X 0 m c X V v d D s s J n F 1 b 3 Q 7 U 2 V j d G l v b j E v S 0 R S d k 5 C L 0 F 1 d G 9 S Z W 1 v d m V k Q 2 9 s d W 1 u c z E u e 0 t h b m 9 u I G V 0 Y y 4 s M z Z 9 J n F 1 b 3 Q 7 L C Z x d W 9 0 O 1 N l Y 3 R p b 2 4 x L 0 t E U n Z O Q i 9 B d X R v U m V t b 3 Z l Z E N v b H V t b n M x L n t Q Y W F y Z G V u I G V u L 2 9 m I G t v Z X R z Z W 4 s M z d 9 J n F 1 b 3 Q 7 L C Z x d W 9 0 O 1 N l Y 3 R p b 2 4 x L 0 t E U n Z O Q i 9 B d X R v U m V t b 3 Z l Z E N v b H V t b n M x L n t U b 2 V s a W N o d G l u Z y 9 v c G 1 l c m t p b m d l b i w z O H 0 m c X V v d D s s J n F 1 b 3 Q 7 U 2 V j d G l v b j E v S 0 R S d k 5 C L 0 F 1 d G 9 S Z W 1 v d m V k Q 2 9 s d W 1 u c z E u e 0 l u e m V u Z G l u Z y 1 J R C w z O X 0 m c X V v d D s s J n F 1 b 3 Q 7 U 2 V j d G l v b j E v S 0 R S d k 5 C L 0 F 1 d G 9 S Z W 1 v d m V k Q 2 9 s d W 1 u c z E u e 0 l u e m V u Z G R h d H V t L D Q w f S Z x d W 9 0 O y w m c X V v d D t T Z W N 0 a W 9 u M S 9 L R F J 2 T k I v Q X V 0 b 1 J l b W 9 2 Z W R D b 2 x 1 b W 5 z M S 5 7 R G F 0 Z S B V c G R h d G V k L D Q x f S Z x d W 9 0 O y w m c X V v d D t T Z W N 0 a W 9 u M S 9 L R F J 2 T k I v Q X V 0 b 1 J l b W 9 2 Z W R D b 2 x 1 b W 5 z M S 5 7 T m F h b S B 2 Y W 4 g a G V 0 I G h v b 2 Z k a 2 9 y c H M s N D J 9 J n F 1 b 3 Q 7 L C Z x d W 9 0 O 1 N l Y 3 R p b 2 4 x L 0 t E U n Z O Q i 9 B d X R v U m V t b 3 Z l Z E N v b H V t b n M x L n t a Y W w g b 3 A g d H J l Z G V u I G F s c y A o a G 9 v Z m R r b 3 J w c y k s N D N 9 J n F 1 b 3 Q 7 L C Z x d W 9 0 O 1 N l Y 3 R p b 2 4 x L 0 t E U n Z O Q i 9 B d X R v U m V t b 3 Z l Z E N v b H V t b n M x L n t W b 3 J t I H Z h b i B 0 d 2 V l I G 1 1 e m l l a 3 d l c m t l b i A o a G 9 v Z m R r b 3 J w c y k s N D R 9 J n F 1 b 3 Q 7 L C Z x d W 9 0 O 1 N l Y 3 R p b 2 4 x L 0 t E U n Z O Q i 9 B d X R v U m V t b 3 Z l Z E N v b H V t b n M x L n t a Y W w g d W l 0 a 2 9 t Z W 4 g a W 4 g Z G U 6 I C h o b 2 9 m Z G t v c n B z K S w 0 N X 0 m c X V v d D s s J n F 1 b 3 Q 7 U 2 V j d G l v b j E v S 0 R S d k 5 C L 0 F 1 d G 9 S Z W 1 v d m V k Q 2 9 s d W 1 u c z E u e 0 1 1 e m l l a 3 d l c m s x I C h o b 2 9 m Z G t v c n B z K S w 0 N n 0 m c X V v d D s s J n F 1 b 3 Q 7 U 2 V j d G l v b j E v S 0 R S d k 5 C L 0 F 1 d G 9 S Z W 1 v d m V k Q 2 9 s d W 1 u c z E u e 0 1 1 e m l l a 3 d l c m s y I C h o b 2 9 m Z G t v c n B z K S w 0 N 3 0 m c X V v d D s s J n F 1 b 3 Q 7 U 2 V j d G l v b j E v S 0 R S d k 5 C L 0 F 1 d G 9 S Z W 1 v d m V k Q 2 9 s d W 1 u c z E u e 0 t v c n B z I G J l c 3 R h Y X Q g d W l 0 I C 4 u L i B k Z W V s b m V t Z X J z I C h o b 2 9 m Z G t v c n B z K S w 0 O H 0 m c X V v d D s s J n F 1 b 3 Q 7 U 2 V j d G l v b j E v S 0 R S d k 5 C L 0 F 1 d G 9 S Z W 1 v d m V k Q 2 9 s d W 1 u c z E u e 1 d v c m R 0 I G V y I G d l Y n J 1 a W s g Z 2 V t Y W F r d C B 2 Y W 4 g b W V j a G F u a X N j a G U g b X V 6 a W V r P y w 0 O X 0 m c X V v d D s s J n F 1 b 3 Q 7 U 2 V j d G l v b j E v S 0 R S d k 5 C L 0 F 1 d G 9 S Z W 1 v d m V k Q 2 9 s d W 1 u c z E u e 0 9 u Z G V y Z G V s Z W 4 s N T B 9 J n F 1 b 3 Q 7 L C Z x d W 9 0 O 1 N l Y 3 R p b 2 4 x L 0 t E U n Z O Q i 9 B d X R v U m V t b 3 Z l Z E N v b H V t b n M x L n t T Z W N 0 a W V z L D U x f S Z x d W 9 0 O y w m c X V v d D t T Z W N 0 a W 9 u M S 9 L R F J 2 T k I v Q X V 0 b 1 J l b W 9 2 Z W R D b 2 x 1 b W 5 z M S 5 7 T G V l Z n R p a m R z Y 2 F 0 Z W d v c m l l L D U y f S Z x d W 9 0 O 1 0 s J n F 1 b 3 Q 7 U m V s Y X R p b 2 5 z a G l w S W 5 m b y Z x d W 9 0 O z p b X X 0 i I C 8 + P E V u d H J 5 I F R 5 c G U 9 I k F k Z G V k V G 9 E Y X R h T W 9 k Z W w i I F Z h b H V l P S J s M C I g L z 4 8 L 1 N 0 Y W J s Z U V u d H J p Z X M + P C 9 J d G V t P j x J d G V t P j x J d G V t T G 9 j Y X R p b 2 4 + P E l 0 Z W 1 U e X B l P k Z v c m 1 1 b G E 8 L 0 l 0 Z W 1 U e X B l P j x J d G V t U G F 0 a D 5 T Z W N 0 a W 9 u M S 9 W b 2 9 y Y m V l b G R i Z X N 0 Y W 5 k 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Y z Y 4 N D B i O G I t N W Z l N i 0 0 Y T M w L T g x Y W I t Y z U 4 N 2 V i O D I 0 N 2 E 5 I i A v P j x F b n R y e S B U e X B l P S J R d W V y e U l E I i B W Y W x 1 Z T 0 i c z E 4 N D B j M m I y L W F h N G M t N D U w Z i 1 i Y T Y z L T Q 4 M D A 1 Y 2 I w O D h m M y I g L z 4 8 R W 5 0 c n k g V H l w Z T 0 i U m V z d W x 0 V H l w Z S I g V m F s d W U 9 I n N F e G N l c H R p b 2 4 i I C 8 + P E V u d H J 5 I F R 5 c G U 9 I k Z p b G x P Y m p l Y 3 R U e X B l I i B W Y W x 1 Z T 0 i c 0 N v b m 5 l Y 3 R p b 2 5 P b m x 5 I i A v P j x F b n R y e S B U e X B l P S J O Y W 1 l V X B k Y X R l Z E F m d G V y R m l s b C I g V m F s d W U 9 I m w x I i A v P j x F b n R y e S B U e X B l P S J M b 2 F k Z W R U b 0 F u Y W x 5 c 2 l z U 2 V y d m l j Z X M i I F Z h b H V l P S J s M C I g L z 4 8 R W 5 0 c n k g V H l w Z T 0 i T G 9 h Z F R v U m V w b 3 J 0 R G l z Y W J s Z W Q i I F Z h b H V l P S J s M S I g L z 4 8 R W 5 0 c n k g V H l w Z T 0 i R m l s b F N 0 Y X R 1 c y I g V m F s d W U 9 I n N D b 2 1 w b G V 0 Z S I g L z 4 8 R W 5 0 c n k g V H l w Z T 0 i R m l s b E x h c 3 R V c G R h d G V k I i B W Y W x 1 Z T 0 i Z D I w M j Y t M D E t M D F U M D k 6 M z A 6 M j Q u O T M 1 N j M z M F o i I C 8 + P E V u d H J 5 I F R 5 c G U 9 I k Z p b G x F c n J v c k N v Z G U i I F Z h b H V l P S J z V W 5 r b m 9 3 b i I g L z 4 8 R W 5 0 c n k g V H l w Z T 0 i Q W R k Z W R U b 0 R h d G F N b 2 R l b C I g V m F s d W U 9 I m w w I i A v P j w v U 3 R h Y m x l R W 5 0 c m l l c z 4 8 L 0 l 0 Z W 0 + P E l 0 Z W 0 + P E l 0 Z W 1 M b 2 N h d G l v b j 4 8 S X R l b V R 5 c G U + R m 9 y b X V s Y T w v S X R l b V R 5 c G U + P E l 0 Z W 1 Q Y X R o P l N l Y 3 R p b 2 4 x L 1 B h c m F t Z X R l c j E 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E t M D g t M T R U M T M 6 M z M 6 M T E u N z M 3 M D A 5 M V 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2 M 2 O D Q w Y j h i L T V m Z T Y t N G E z M C 0 4 M W F i L W M 1 O D d l Y j g y N D d h O S I g L z 4 8 R W 5 0 c n k g V H l w Z T 0 i U X V l c n l J R C I g V m F s d W U 9 I n M z M 2 I 1 M G Y w Z S 0 1 M z E 2 L T Q y Z j k t O T J m Z S 1 k N z d k M T d j M z R j N W I i I C 8 + P E V u d H J 5 I F R 5 c G U 9 I l J l c 3 V s d F R 5 c G U i I F Z h b H V l P S J z R X h j Z X B 0 a W 9 u I i A v P j x F b n R y e S B U e X B l P S J G a W x s T 2 J q Z W N 0 V H l w Z S I g V m F s d W U 9 I n N D b 2 5 u Z W N 0 a W 9 u T 2 5 s e S I g L z 4 8 R W 5 0 c n k g V H l w Z T 0 i T G 9 h Z F R v U m V w b 3 J 0 R G l z Y W J s Z W Q i I F Z h b H V l P S J s M S I g L z 4 8 L 1 N 0 Y W J s Z U V u d H J p Z X M + P C 9 J d G V t P j x J d G V t P j x J d G V t T G 9 j Y X R p b 2 4 + P E l 0 Z W 1 U e X B l P k Z v c m 1 1 b G E 8 L 0 l 0 Z W 1 U e X B l P j x J d G V t U G F 0 a D 5 T Z W N 0 a W 9 u M S 9 W b 2 9 y Y m V l b G R i Z X N 0 Y W 5 k J T I w d H J h b n N m b 3 J t Z X J l b j 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U w M 2 R l N D h l L T h k M j M t N D Z l N y 1 h Y z c 5 L T U y N m Q y M T Z l Y 2 Q 2 N S I g L z 4 8 R W 5 0 c n k g V H l w Z T 0 i U X V l c n l J R C I g V m F s d W U 9 I n M w M T I 5 Z j N h Y S 1 j N z d m L T Q 2 Z m Y t Y W U w M C 0 z Y T I 0 O W Y 3 Z m U 1 N m I i I C 8 + P E V u d H J 5 I F R 5 c G U 9 I l J l c 3 V s d F R 5 c G U i I F Z h b H V l P S J z R X h j Z X B 0 a W 9 u I i A v P j x F b n R y e S B U e X B l P S J G a W x s T 2 J q Z W N 0 V H l w Z S I g V m F s d W U 9 I n N D b 2 5 u Z W N 0 a W 9 u T 2 5 s e S I g L z 4 8 R W 5 0 c n k g V H l w Z T 0 i T m F t Z V V w Z G F 0 Z W R B Z n R l c k Z p b G w i I F Z h b H V l P S J s M S I g L z 4 8 R W 5 0 c n k g V H l w Z T 0 i T G 9 h Z F R v U m V w b 3 J 0 R G l z Y W J s Z W Q i I F Z h b H V l P S J s M S I g L z 4 8 R W 5 0 c n k g V H l w Z T 0 i R m l s b F N 0 Y X R 1 c y I g V m F s d W U 9 I n N D b 2 1 w b G V 0 Z S I g L z 4 8 R W 5 0 c n k g V H l w Z T 0 i R m l s b E x h c 3 R V c G R h d G V k I i B W Y W x 1 Z T 0 i Z D I w M j Y t M D E t M D F U M D k 6 M z A 6 M j U u M D E 2 M z I w M F o i I C 8 + P E V u d H J 5 I F R 5 c G U 9 I k Z p b G x F c n J v c k N v Z G U i I F Z h b H V l P S J z V W 5 r b m 9 3 b i I g L z 4 8 R W 5 0 c n k g V H l w Z T 0 i Q W R k Z W R U b 0 R h d G F N b 2 R l b C I g V m F s d W U 9 I m w w I i A v P j w v U 3 R h Y m x l R W 5 0 c m l l c z 4 8 L 0 l 0 Z W 0 + P E l 0 Z W 0 + P E l 0 Z W 1 M b 2 N h d G l v b j 4 8 S X R l b V R 5 c G U + R m 9 y b X V s Y T w v S X R l b V R 5 c G U + P E l 0 Z W 1 Q Y X R o P l N l Y 3 R p b 2 4 x L 0 J l c 3 R h b m Q l M j B 0 c m F u c 2 Z v c m 1 l c m V u 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w L T A y V D A 5 O j U 5 O j Q 2 L j U 4 M T A 0 N z B 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j N j g 0 M G I 4 Y i 0 1 Z m U 2 L T R h M z A t O D F h Y i 1 j N T g 3 Z W I 4 M j Q 3 Y T k i I C 8 + P E V u d H J 5 I F R 5 c G U 9 I l F 1 Z X J 5 S U Q i I F Z h b H V l P S J z Y T F k Y T J k N D I t Y 2 M w M y 0 0 M z c w L W I z Z j Y t M z M 5 Y T h j Y T h i Z W Y z I i A v P j x F b n R y e S B U e X B l P S J S Z X N 1 b H R U e X B l I i B W Y W x 1 Z T 0 i c 0 Z 1 b m N 0 a W 9 u I i A v P j x F b n R y e S B U e X B l P S J G a W x s T 2 J q Z W N 0 V H l w Z S I g V m F s d W U 9 I n N D b 2 5 u Z W N 0 a W 9 u T 2 5 s e S I g L z 4 8 R W 5 0 c n k g V H l w Z T 0 i T G 9 h Z F R v U m V w b 3 J 0 R G l z Y W J s Z W Q i I F Z h b H V l P S J s M S I g L z 4 8 L 1 N 0 Y W J s Z U V u d H J p Z X M + P C 9 J d G V t P j x J d G V t P j x J d G V t T G 9 j Y X R p b 2 4 + P E l 0 Z W 1 U e X B l P k Z v c m 1 1 b G E 8 L 0 l 0 Z W 1 U e X B l P j x J d G V t U G F 0 a D 5 T Z W N 0 a W 9 u M S 9 W b 2 9 y Y m V l b G R i Z X N 0 Y W 5 k J T I w J T I 4 M i U y O T 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M y N G V h M D R i L T U 5 Z T g t N D N k O C 0 5 N W M 3 L W I 1 N j Y 2 M G Q 0 Y T M 1 N y I g L z 4 8 R W 5 0 c n k g V H l w Z T 0 i U X V l c n l J R C I g V m F s d W U 9 I n M x Z m Z i M D V l M y 0 w N D F l L T Q z N m E t Y m V m Y S 0 5 N D Y 0 Z T Z m N T A z Z G Q i I C 8 + P E V u d H J 5 I F R 5 c G U 9 I l J l c 3 V s d F R 5 c G U i I F Z h b H V l P S J z R X h j Z X B 0 a W 9 u I i A v P j x F b n R y e S B U e X B l P S J O Y X Z p Z 2 F 0 a W 9 u U 3 R l c E 5 h b W U i I F Z h b H V l P S J z T m F 2 a W d h d G l l I i A v P j x F b n R y e S B U e X B l P S J G a W x s T 2 J q Z W N 0 V H l w Z S I g V m F s d W U 9 I n N D b 2 5 u Z W N 0 a W 9 u T 2 5 s e S I g L z 4 8 R W 5 0 c n k g V H l w Z T 0 i T m F t Z V V w Z G F 0 Z W R B Z n R l c k Z p b G w i I F Z h b H V l P S J s M S I g L z 4 8 R W 5 0 c n k g V H l w Z T 0 i T G 9 h Z G V k V G 9 B b m F s e X N p c 1 N l c n Z p Y 2 V z I i B W Y W x 1 Z T 0 i b D A i I C 8 + P E V u d H J 5 I F R 5 c G U 9 I k x v Y W R U b 1 J l c G 9 y d E R p c 2 F i b G V k I i B W Y W x 1 Z T 0 i b D E i I C 8 + P E V u d H J 5 I F R 5 c G U 9 I k Z p b G x M Y X N 0 V X B k Y X R l Z C I g V m F s d W U 9 I m Q y M D I 2 L T A x L T A x V D A 5 O j M w O j I 1 L j A z N T U y N z B a 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a W V s Z W 1 h b n R y Z W Z m Z W 4 v Q X V 0 b 1 J l b W 9 2 Z W R D b 2 x 1 b W 5 z M S 5 7 T m F t Z S w w f S Z x d W 9 0 O y w m c X V v d D t T Z W N 0 a W 9 u M S 9 C a W V s Z W 1 h b n R y Z W Z m Z W 4 v Q X V 0 b 1 J l b W 9 2 Z W R D b 2 x 1 b W 5 z M S 5 7 R X h 0 Z W 5 z a W 9 u L D F 9 J n F 1 b 3 Q 7 L C Z x d W 9 0 O 1 N l Y 3 R p b 2 4 x L 0 J p Z W x l b W F u d H J l Z m Z l b i 9 B d X R v U m V t b 3 Z l Z E N v b H V t b n M x L n t E Y X R l I G F j Y 2 V z c 2 V k L D J 9 J n F 1 b 3 Q 7 L C Z x d W 9 0 O 1 N l Y 3 R p b 2 4 x L 0 J p Z W x l b W F u d H J l Z m Z l b i 9 B d X R v U m V t b 3 Z l Z E N v b H V t b n M x L n t E Y X R l I G 1 v Z G l m a W V k L D N 9 J n F 1 b 3 Q 7 L C Z x d W 9 0 O 1 N l Y 3 R p b 2 4 x L 0 J p Z W x l b W F u d H J l Z m Z l b i 9 B d X R v U m V t b 3 Z l Z E N v b H V t b n M x L n t E Y X R l I G N y Z W F 0 Z W Q s N H 0 m c X V v d D s s J n F 1 b 3 Q 7 U 2 V j d G l v b j E v Q m l l b G V t Y W 5 0 c m V m Z m V u L 0 F 1 d G 9 S Z W 1 v d m V k Q 2 9 s d W 1 u c z E u e 0 Z v b G R l c i B Q Y X R o L D V 9 J n F 1 b 3 Q 7 X S w m c X V v d D t D b 2 x 1 b W 5 D b 3 V u d C Z x d W 9 0 O z o 2 L C Z x d W 9 0 O 0 t l e U N v b H V t b k 5 h b W V z J n F 1 b 3 Q 7 O l t d L C Z x d W 9 0 O 0 N v b H V t b k l k Z W 5 0 a X R p Z X M m c X V v d D s 6 W y Z x d W 9 0 O 1 N l Y 3 R p b 2 4 x L 0 J p Z W x l b W F u d H J l Z m Z l b i 9 B d X R v U m V t b 3 Z l Z E N v b H V t b n M x L n t O Y W 1 l L D B 9 J n F 1 b 3 Q 7 L C Z x d W 9 0 O 1 N l Y 3 R p b 2 4 x L 0 J p Z W x l b W F u d H J l Z m Z l b i 9 B d X R v U m V t b 3 Z l Z E N v b H V t b n M x L n t F e H R l b n N p b 2 4 s M X 0 m c X V v d D s s J n F 1 b 3 Q 7 U 2 V j d G l v b j E v Q m l l b G V t Y W 5 0 c m V m Z m V u L 0 F 1 d G 9 S Z W 1 v d m V k Q 2 9 s d W 1 u c z E u e 0 R h d G U g Y W N j Z X N z Z W Q s M n 0 m c X V v d D s s J n F 1 b 3 Q 7 U 2 V j d G l v b j E v Q m l l b G V t Y W 5 0 c m V m Z m V u L 0 F 1 d G 9 S Z W 1 v d m V k Q 2 9 s d W 1 u c z E u e 0 R h d G U g b W 9 k a W Z p Z W Q s M 3 0 m c X V v d D s s J n F 1 b 3 Q 7 U 2 V j d G l v b j E v Q m l l b G V t Y W 5 0 c m V m Z m V u L 0 F 1 d G 9 S Z W 1 v d m V k Q 2 9 s d W 1 u c z E u e 0 R h d G U g Y 3 J l Y X R l Z C w 0 f S Z x d W 9 0 O y w m c X V v d D t T Z W N 0 a W 9 u M S 9 C a W V s Z W 1 h b n R y Z W Z m Z W 4 v Q X V 0 b 1 J l b W 9 2 Z W R D b 2 x 1 b W 5 z M S 5 7 R m 9 s Z G V y I F B h d G g s N X 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9 Q Y X J h b W V 0 Z X I y 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x L T A 4 L T E 0 V D E z O j M z O j E y L j I 1 M z A 0 M z F 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M z M j R l Y T A 0 Y i 0 1 O W U 4 L T Q z Z D g t O T V j N y 1 i N T Y 2 N j B k N G E z N T c i I C 8 + P E V u d H J 5 I F R 5 c G U 9 I l F 1 Z X J 5 S U Q i I F Z h b H V l P S J z M D Q 3 M W Y x M j U t N D Q x N i 0 0 M T B l L T k 1 N 2 U t O W U w N j Q x Y m U 4 Z T V m I i A v P j x F b n R y e S B U e X B l P S J S Z X N 1 b H R U e X B l I i B W Y W x 1 Z T 0 i c 0 V 4 Y 2 V w d G l v b i I g L z 4 8 R W 5 0 c n k g V H l w Z T 0 i R m l s b E 9 i a m V j d F R 5 c G U i I F Z h b H V l P S J z Q 2 9 u b m V j d G l v b k 9 u b H k i I C 8 + P E V u d H J 5 I F R 5 c G U 9 I k x v Y W R U b 1 J l c G 9 y d E R p c 2 F i b G V k I i B W Y W x 1 Z T 0 i b D E i I C 8 + P C 9 T d G F i b G V F b n R y a W V z P j w v S X R l b T 4 8 S X R l b T 4 8 S X R l b U x v Y 2 F 0 a W 9 u P j x J d G V t V H l w Z T 5 G b 3 J t d W x h P C 9 J d G V t V H l w Z T 4 8 S X R l b V B h d G g + U 2 V j d G l v b j E v V m 9 v c m J l Z W x k Y m V z d G F u Z C U y M H R y Y W 5 z Z m 9 y b W V y Z W 4 l M j A l M j g y J T I 5 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g 1 O D R h Z m Q t N j R l N C 0 0 M m Y 0 L T g y O D E t Z m J i O D h l M j M z M T c 1 I i A v P j x F b n R y e S B U e X B l P S J R d W V y e U l E I i B W Y W x 1 Z T 0 i c 2 U 5 Z D M z N m N k L T E 2 O G I t N G R k M y 0 4 O T B i L T I z N 2 V l N T F l M j Q y N S I g L z 4 8 R W 5 0 c n k g V H l w Z T 0 i U m V z d W x 0 V H l w Z S I g V m F s d W U 9 I n N F e G N l c H R p b 2 4 i I C 8 + P E V u d H J 5 I F R 5 c G U 9 I k Z p b G x P Y m p l Y 3 R U e X B l I i B W Y W x 1 Z T 0 i c 0 N v b m 5 l Y 3 R p b 2 5 P b m x 5 I i A v P j x F b n R y e S B U e X B l P S J O Y W 1 l V X B k Y X R l Z E F m d G V y R m l s b C I g V m F s d W U 9 I m w x I i A v P j x F b n R y e S B U e X B l P S J M b 2 F k V G 9 S Z X B v c n R E a X N h Y m x l Z C I g V m F s d W U 9 I m w x I i A v P j x F b n R y e S B U e X B l P S J G a W x s U 3 R h d H V z I i B W Y W x 1 Z T 0 i c 0 N v b X B s Z X R l I i A v P j x F b n R y e S B U e X B l P S J G a W x s T G F z d F V w Z G F 0 Z W Q i I F Z h b H V l P S J k M j A y N i 0 w M S 0 w M V Q w O T o z M D o y N S 4 w N j I 4 M j E w W i I g L z 4 8 R W 5 0 c n k g V H l w Z T 0 i R m l s b E V y c m 9 y Q 2 9 k Z S I g V m F s d W U 9 I n N V b m t u b 3 d u I i A v P j x F b n R y e S B U e X B l P S J B Z G R l Z F R v R G F 0 Y U 1 v Z G V s I i B W Y W x 1 Z T 0 i b D A i I C 8 + P C 9 T d G F i b G V F b n R y a W V z P j w v S X R l b T 4 8 S X R l b T 4 8 S X R l b U x v Y 2 F 0 a W 9 u P j x J d G V t V H l w Z T 5 G b 3 J t d W x h P C 9 J d G V t V H l w Z T 4 8 S X R l b V B h d G g + U 2 V j d G l v b j E v Q m V z d G F u Z C U y M H R y Y W 5 z Z m 9 y b W V y Z W 4 l M j A l M j g y J T I 5 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w L T A y V D A 5 O j U 5 O j Q 2 L j g z N z g 3 O D B 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M z M j R l Y T A 0 Y i 0 1 O W U 4 L T Q z Z D g t O T V j N y 1 i N T Y 2 N j B k N G E z N T c i I C 8 + P E V u d H J 5 I F R 5 c G U 9 I l F 1 Z X J 5 S U Q i I F Z h b H V l P S J z M z Z j N j R k N z A t Z D Q 2 M S 0 0 N j R i L T h m N T k t Y z Y x O T c x M W M 3 Y m Z k I i A v P j x F b n R y e S B U e X B l P S J S Z X N 1 b H R U e X B l I i B W Y W x 1 Z T 0 i c 0 Z 1 b m N 0 a W 9 u I i A v P j x F b n R y e S B U e X B l P S J G a W x s T 2 J q Z W N 0 V H l w Z S I g V m F s d W U 9 I n N D b 2 5 u Z W N 0 a W 9 u T 2 5 s e S I g L z 4 8 R W 5 0 c n k g V H l w Z T 0 i T G 9 h Z F R v U m V w b 3 J 0 R G l z Y W J s Z W Q i I F Z h b H V l P S J s M S I g L z 4 8 L 1 N 0 Y W J s Z U V u d H J p Z X M + P C 9 J d G V t P j x J d G V t P j x J d G V t T G 9 j Y X R p b 2 4 + P E l 0 Z W 1 U e X B l P k Z v c m 1 1 b G E 8 L 0 l 0 Z W 1 U e X B l P j x J d G V t U G F 0 a D 5 T Z W N 0 a W 9 u M S 9 G U 0 Q v Q n J v b j w v S X R l b V B h d G g + P C 9 J d G V t T G 9 j Y X R p b 2 4 + P F N 0 Y W J s Z U V u d H J p Z X M g L z 4 8 L 0 l 0 Z W 0 + P E l 0 Z W 0 + P E l 0 Z W 1 M b 2 N h d G l v b j 4 8 S X R l b V R 5 c G U + R m 9 y b X V s Y T w v S X R l b V R 5 c G U + P E l 0 Z W 1 Q Y X R o P l N l Y 3 R p b 2 4 x L 0 Z T R C 9 I Z W F k Z X J z J T I w b W V 0 J T I w d m V y a G 9 v Z 2 Q l M j B u a X Z l Y X U 8 L 0 l 0 Z W 1 Q Y X R o P j w v S X R l b U x v Y 2 F 0 a W 9 u P j x T d G F i b G V F b n R y a W V z I C 8 + P C 9 J d G V t P j x J d G V t P j x J d G V t T G 9 j Y X R p b 2 4 + P E l 0 Z W 1 U e X B l P k Z v c m 1 1 b G E 8 L 0 l 0 Z W 1 U e X B l P j x J d G V t U G F 0 a D 5 T Z W N 0 a W 9 u M S 9 G U 0 Q v S 2 9 s b 2 1 t Z W 4 l M j B 2 Z X J 3 a W p k Z X J k P C 9 J d G V t U G F 0 a D 4 8 L 0 l 0 Z W 1 M b 2 N h d G l v b j 4 8 U 3 R h Y m x l R W 5 0 c m l l c y A v P j w v S X R l b T 4 8 S X R l b T 4 8 S X R l b U x v Y 2 F 0 a W 9 u P j x J d G V t V H l w Z T 5 G b 3 J t d W x h P C 9 J d G V t V H l w Z T 4 8 S X R l b V B h d G g + U 2 V j d G l v b j E v R l N E L 1 Z v b G d v c m R l J T I w d m F u J T I w a 2 9 s b 2 1 t Z W 4 l M j B n Z X d p a n p p Z 2 Q 8 L 0 l 0 Z W 1 Q Y X R o P j w v S X R l b U x v Y 2 F 0 a W 9 u P j x T d G F i b G V F b n R y a W V z I C 8 + P C 9 J d G V t P j x J d G V t P j x J d G V t T G 9 j Y X R p b 2 4 + P E l 0 Z W 1 U e X B l P k Z v c m 1 1 b G E 8 L 0 l 0 Z W 1 U e X B l P j x J d G V t U G F 0 a D 5 T Z W N 0 a W 9 u M S 9 G U 0 Q v T m F t Z W 4 l M j B 2 Y W 4 l M j B r b 2 x v b W 1 l b i U y M G d l d 2 l q e m l n Z D w v S X R l b V B h d G g + P C 9 J d G V t T G 9 j Y X R p b 2 4 + P F N 0 Y W J s Z U V u d H J p Z X M g L z 4 8 L 0 l 0 Z W 0 + P E l 0 Z W 0 + P E l 0 Z W 1 M b 2 N h d G l v b j 4 8 S X R l b V R 5 c G U + R m 9 y b X V s Y T w v S X R l b V R 5 c G U + P E l 0 Z W 1 Q Y X R o P l N l Y 3 R p b 2 4 x L 0 Z T R C 9 L b 2 x v b S U y M H N w b G l 0 c 2 V u J T I w b 3 A l M j B z Y 2 h l a W R p b m d z d G V r Z W 4 8 L 0 l 0 Z W 1 Q Y X R o P j w v S X R l b U x v Y 2 F 0 a W 9 u P j x T d G F i b G V F b n R y a W V z I C 8 + P C 9 J d G V t P j x J d G V t P j x J d G V t T G 9 j Y X R p b 2 4 + P E l 0 Z W 1 U e X B l P k Z v c m 1 1 b G E 8 L 0 l 0 Z W 1 U e X B l P j x J d G V t U G F 0 a D 5 T Z W N 0 a W 9 u M S 9 G U 0 Q v S 2 9 s b 2 1 t Z W 4 l M j B z Y W 1 l b m d l d m 9 l Z 2 Q 8 L 0 l 0 Z W 1 Q Y X R o P j w v S X R l b U x v Y 2 F 0 a W 9 u P j x T d G F i b G V F b n R y a W V z I C 8 + P C 9 J d G V t P j x J d G V t P j x J d G V t T G 9 j Y X R p b 2 4 + P E l 0 Z W 1 U e X B l P k Z v c m 1 1 b G E 8 L 0 l 0 Z W 1 U e X B l P j x J d G V t U G F 0 a D 5 T Z W N 0 a W 9 u M S 9 L R F J 2 T k I v Q n J v b j w v S X R l b V B h d G g + P C 9 J d G V t T G 9 j Y X R p b 2 4 + P F N 0 Y W J s Z U V u d H J p Z X M g L z 4 8 L 0 l 0 Z W 0 + P E l 0 Z W 0 + P E l 0 Z W 1 M b 2 N h d G l v b j 4 8 S X R l b V R 5 c G U + R m 9 y b X V s Y T w v S X R l b V R 5 c G U + P E l 0 Z W 1 Q Y X R o P l N l Y 3 R p b 2 4 x L 0 t E U n Z O Q i 9 I Z W F k Z X J z J T I w b W V 0 J T I w d m V y a G 9 v Z 2 Q l M j B u a X Z l Y X U 8 L 0 l 0 Z W 1 Q Y X R o P j w v S X R l b U x v Y 2 F 0 a W 9 u P j x T d G F i b G V F b n R y a W V z I C 8 + P C 9 J d G V t P j x J d G V t P j x J d G V t T G 9 j Y X R p b 2 4 + P E l 0 Z W 1 U e X B l P k Z v c m 1 1 b G E 8 L 0 l 0 Z W 1 U e X B l P j x J d G V t U G F 0 a D 5 T Z W N 0 a W 9 u M S 9 L R F J 2 T k I v S 2 9 s b 2 1 t Z W 4 l M j B 2 Z X J 3 a W p k Z X J k P C 9 J d G V t U G F 0 a D 4 8 L 0 l 0 Z W 1 M b 2 N h d G l v b j 4 8 U 3 R h Y m x l R W 5 0 c m l l c y A v P j w v S X R l b T 4 8 S X R l b T 4 8 S X R l b U x v Y 2 F 0 a W 9 u P j x J d G V t V H l w Z T 5 G b 3 J t d W x h P C 9 J d G V t V H l w Z T 4 8 S X R l b V B h d G g + U 2 V j d G l v b j E v S 0 R S d k 5 C L 1 Z v b G d v c m R l J T I w d m F u J T I w a 2 9 s b 2 1 t Z W 4 l M j B n Z X d p a n p p Z 2 Q 8 L 0 l 0 Z W 1 Q Y X R o P j w v S X R l b U x v Y 2 F 0 a W 9 u P j x T d G F i b G V F b n R y a W V z I C 8 + P C 9 J d G V t P j x J d G V t P j x J d G V t T G 9 j Y X R p b 2 4 + P E l 0 Z W 1 U e X B l P k Z v c m 1 1 b G E 8 L 0 l 0 Z W 1 U e X B l P j x J d G V t U G F 0 a D 5 T Z W N 0 a W 9 u M S 9 L R F J 2 T k I v T m F t Z W 4 l M j B 2 Y W 4 l M j B r b 2 x v b W 1 l b i U y M G d l d 2 l q e m l n Z D w v S X R l b V B h d G g + P C 9 J d G V t T G 9 j Y X R p b 2 4 + P F N 0 Y W J s Z U V u d H J p Z X M g L z 4 8 L 0 l 0 Z W 0 + P E l 0 Z W 0 + P E l 0 Z W 1 M b 2 N h d G l v b j 4 8 S X R l b V R 5 c G U + R m 9 y b X V s Y T w v S X R l b V R 5 c G U + P E l 0 Z W 1 Q Y X R o P l N l Y 3 R p b 2 4 x L 0 t E U n Z O Q i 9 L b 2 x v b S U y M H N w b G l 0 c 2 V u J T I w b 3 A l M j B z Y 2 h l a W R p b m d z d G V r Z W 4 8 L 0 l 0 Z W 1 Q Y X R o P j w v S X R l b U x v Y 2 F 0 a W 9 u P j x T d G F i b G V F b n R y a W V z I C 8 + P C 9 J d G V t P j x J d G V t P j x J d G V t T G 9 j Y X R p b 2 4 + P E l 0 Z W 1 U e X B l P k Z v c m 1 1 b G E 8 L 0 l 0 Z W 1 U e X B l P j x J d G V t U G F 0 a D 5 T Z W N 0 a W 9 u M S 9 L R F J 2 T k I v S 2 9 s b 2 1 t Z W 4 l M j B z Y W 1 l b m d l d m 9 l Z 2 Q 8 L 0 l 0 Z W 1 Q Y X R o P j w v S X R l b U x v Y 2 F 0 a W 9 u P j x T d G F i b G V F b n R y a W V z I C 8 + P C 9 J d G V t P j x J d G V t P j x J d G V t T G 9 j Y X R p b 2 4 + P E l 0 Z W 1 U e X B l P k Z v c m 1 1 b G E 8 L 0 l 0 Z W 1 U e X B l P j x J d G V t U G F 0 a D 5 T Z W N 0 a W 9 u M S 9 W b 2 9 y Y m V l b G R i Z X N 0 Y W 5 k L 0 J y b 2 4 8 L 0 l 0 Z W 1 Q Y X R o P j w v S X R l b U x v Y 2 F 0 a W 9 u P j x T d G F i b G V F b n R y a W V z I C 8 + P C 9 J d G V t P j x J d G V t P j x J d G V t T G 9 j Y X R p b 2 4 + P E l 0 Z W 1 U e X B l P k Z v c m 1 1 b G E 8 L 0 l 0 Z W 1 U e X B l P j x J d G V t U G F 0 a D 5 T Z W N 0 a W 9 u M S 9 W b 2 9 y Y m V l b G R i Z X N 0 Y W 5 k L 0 5 h d m l n Y X R p Z T E 8 L 0 l 0 Z W 1 Q Y X R o P j w v S X R l b U x v Y 2 F 0 a W 9 u P j x T d G F i b G V F b n R y a W V z I C 8 + P C 9 J d G V t P j x J d G V t P j x J d G V t T G 9 j Y X R p b 2 4 + P E l 0 Z W 1 U e X B l P k Z v c m 1 1 b G E 8 L 0 l 0 Z W 1 U e X B l P j x J d G V t U G F 0 a D 5 T Z W N 0 a W 9 u M S 9 W b 2 9 y Y m V l b G R i Z X N 0 Y W 5 k J T I w d H J h b n N m b 3 J t Z X J l b i 9 C c m 9 u P C 9 J d G V t U G F 0 a D 4 8 L 0 l 0 Z W 1 M b 2 N h d G l v b j 4 8 U 3 R h Y m x l R W 5 0 c m l l c y A v P j w v S X R l b T 4 8 S X R l b T 4 8 S X R l b U x v Y 2 F 0 a W 9 u P j x J d G V t V H l w Z T 5 G b 3 J t d W x h P C 9 J d G V t V H l w Z T 4 8 S X R l b V B h d G g + U 2 V j d G l v b j E v V m 9 v c m J l Z W x k Y m V z d G F u Z C U y M H R y Y W 5 z Z m 9 y b W V y Z W 4 v S G V h Z G V y c y U y M G 1 l d C U y M H Z l c m h v b 2 d k J T I w b m l 2 Z W F 1 P C 9 J d G V t U G F 0 a D 4 8 L 0 l 0 Z W 1 M b 2 N h d G l v b j 4 8 U 3 R h Y m x l R W 5 0 c m l l c y A v P j w v S X R l b T 4 8 S X R l b T 4 8 S X R l b U x v Y 2 F 0 a W 9 u P j x J d G V t V H l w Z T 5 G b 3 J t d W x h P C 9 J d G V t V H l w Z T 4 8 S X R l b V B h d G g + U 2 V j d G l v b j E v V m 9 v c m J l Z W x k Y m V z d G F u Z C U y M C U y O D I l M j k v Q n J v b j w v S X R l b V B h d G g + P C 9 J d G V t T G 9 j Y X R p b 2 4 + P F N 0 Y W J s Z U V u d H J p Z X M g L z 4 8 L 0 l 0 Z W 0 + P E l 0 Z W 0 + P E l 0 Z W 1 M b 2 N h d G l v b j 4 8 S X R l b V R 5 c G U + R m 9 y b X V s Y T w v S X R l b V R 5 c G U + P E l 0 Z W 1 Q Y X R o P l N l Y 3 R p b 2 4 x L 1 Z v b 3 J i Z W V s Z G J l c 3 R h b m Q l M j A l M j g y J T I 5 L 0 5 h d m l n Y X R p Z T E 8 L 0 l 0 Z W 1 Q Y X R o P j w v S X R l b U x v Y 2 F 0 a W 9 u P j x T d G F i b G V F b n R y a W V z I C 8 + P C 9 J d G V t P j x J d G V t P j x J d G V t T G 9 j Y X R p b 2 4 + P E l 0 Z W 1 U e X B l P k Z v c m 1 1 b G E 8 L 0 l 0 Z W 1 U e X B l P j x J d G V t U G F 0 a D 5 T Z W N 0 a W 9 u M S 9 W b 2 9 y Y m V l b G R i Z X N 0 Y W 5 k J T I w d H J h b n N m b 3 J t Z X J l b i U y M C U y O D I l M j k v Q n J v b j w v S X R l b V B h d G g + P C 9 J d G V t T G 9 j Y X R p b 2 4 + P F N 0 Y W J s Z U V u d H J p Z X M g L z 4 8 L 0 l 0 Z W 0 + P E l 0 Z W 0 + P E l 0 Z W 1 M b 2 N h d G l v b j 4 8 S X R l b V R 5 c G U + R m 9 y b X V s Y T w v S X R l b V R 5 c G U + P E l 0 Z W 1 Q Y X R o P l N l Y 3 R p b 2 4 x L 1 Z v b 3 J i Z W V s Z G J l c 3 R h b m Q l M j B 0 c m F u c 2 Z v c m 1 l c m V u J T I w J T I 4 M i U y O S 9 I Z W F k Z X J z J T I w b W V 0 J T I w d m V y a G 9 v Z 2 Q l M j B u a X Z l Y X U 8 L 0 l 0 Z W 1 Q Y X R o P j w v S X R l b U x v Y 2 F 0 a W 9 u P j x T d G F i b G V F b n R y a W V z I C 8 + P C 9 J d G V t P j x J d G V t P j x J d G V t T G 9 j Y X R p b 2 4 + P E l 0 Z W 1 U e X B l P k Z v c m 1 1 b G E 8 L 0 l 0 Z W 1 U e X B l P j x J d G V t U G F 0 a D 5 T Z W N 0 a W 9 u M S 9 L R F J 2 T k I v V 2 F h c m R l J T I w a X M l M j B 2 Z X J 2 Y W 5 n Z W 4 8 L 0 l 0 Z W 1 Q Y X R o P j w v S X R l b U x v Y 2 F 0 a W 9 u P j x T d G F i b G V F b n R y a W V z I C 8 + P C 9 J d G V t P j x J d G V t P j x J d G V t T G 9 j Y X R p b 2 4 + P E l 0 Z W 1 U e X B l P k Z v c m 1 1 b G E 8 L 0 l 0 Z W 1 U e X B l P j x J d G V t U G F 0 a D 5 T Z W N 0 a W 9 u M S 9 G U 0 Q v V 2 F h c m R l J T I w a X M l M j B 2 Z X J 2 Y W 5 n Z W 4 8 L 0 l 0 Z W 1 Q Y X R o P j w v S X R l b U x v Y 2 F 0 a W 9 u P j x T d G F i b G V F b n R y a W V z I C 8 + P C 9 J d G V t P j x J d G V t P j x J d G V t T G 9 j Y X R p b 2 4 + P E l 0 Z W 1 U e X B l P k Z v c m 1 1 b G E 8 L 0 l 0 Z W 1 U e X B l P j x J d G V t U G F 0 a D 5 T Z W N 0 a W 9 u M S 9 L R F J 2 T k I v V 2 F h c m R l J T I w a X M l M j B 2 Z X J 2 Y W 5 n Z W 4 l M j A x P C 9 J d G V t U G F 0 a D 4 8 L 0 l 0 Z W 1 M b 2 N h d G l v b j 4 8 U 3 R h Y m x l R W 5 0 c m l l c y A v P j w v S X R l b T 4 8 S X R l b T 4 8 S X R l b U x v Y 2 F 0 a W 9 u P j x J d G V t V H l w Z T 5 G b 3 J t d W x h P C 9 J d G V t V H l w Z T 4 8 S X R l b V B h d G g + U 2 V j d G l v b j E v R l N E L 1 d h Y X J k Z S U y M G l z J T I w d m V y d m F u Z 2 V u J T I w M T w v S X R l b V B h d G g + P C 9 J d G V t T G 9 j Y X R p b 2 4 + P F N 0 Y W J s Z U V u d H J p Z X M g L z 4 8 L 0 l 0 Z W 0 + P E l 0 Z W 0 + P E l 0 Z W 1 M b 2 N h d G l v b j 4 8 S X R l b V R 5 c G U + Q W x s R m 9 y b X V s Y X M 8 L 0 l 0 Z W 1 U e X B l P j x J d G V t U G F 0 a C A v P j w v S X R l b U x v Y 2 F 0 a W 9 u P j x T d G F i b G V F b n R y a W V z P j x F b n R y e S B U e X B l P S J R d W V y e U d y b 3 V w c y I g V m F s d W U 9 I n N C Q U F B Q U F B Q U F B Q 0 8 1 R D F R S T Q z b l J x e D V V b T B o Y n M x b E x V S m x j M 1 J o Y m 1 R Z 2 R t R n V J R U p w W l d 4 b G J X R n V k S E p s W m 1 a b G J p Q W 9 N a W t n Z E h K a G J u T m 1 i M 0 p 0 W l h K b G J n Q U F B Q U F B Q U F B Q U F B Q 0 x D N F R H N W w 4 d 1 N v R 3 J 4 W W Z y Z 2 t l c E R r a G x i S E J s Y 2 k x e G R X V n l l U 2 R 6 Q U F H T z V E M V F J N D N u U n F 4 N V V t M G h i c z F s Q U F B Q U F B Q U F B Q U Q 5 U 2 x n b z V H V D B R b 0 t C K z d p T 0 l 6 R j F L V U p s Y z N S a G J t U W d k b U Z 1 S U V K c F p X e G x i V 0 Z 1 Z E h K b F p t W m x i a U I w Y 2 1 G d W M y W n Z j b T F s Y 2 1 W d U F B Q U N B Q U F B Q U F B Q U F F d W d U a k x v V 2 R o R G x j Z T F a b U R V b z F j T 1 N H V n N j R 1 Z 5 T F h G M V p Y S j V K M 0 1 B Q W Y x S 1 d D a m t a U F J D Z 2 9 I N 3 V J N G p N W F V B Q U F B Q S I g L z 4 8 R W 5 0 c n k g V H l w Z T 0 i U m V s Y X R p b 2 5 z a G l w c y I g V m F s d W U 9 I n N B Q U F B Q U E 9 P S I g L z 4 8 R W 5 0 c n k g V H l w Z T 0 i S X N U e X B l R G V 0 Z W N 0 a W 9 u R W 5 h Y m x l Z C I g V m F s d W U 9 I n N U c n V l I i A v P j w v U 3 R h Y m x l R W 5 0 c m l l c z 4 8 L 0 l 0 Z W 0 + P E l 0 Z W 0 + P E l 0 Z W 1 M b 2 N h d G l v b j 4 8 S X R l b V R 5 c G U + R m 9 y b X V s Y T w v S X R l b V R 5 c G U + P E l 0 Z W 1 Q Y X R o P l N l Y 3 R p b 2 4 x L 0 d L V k k 8 L 0 l 0 Z W 1 Q Y X R o P j w v S X R l b U x v Y 2 F 0 a W 9 u P j x T d G F i b G V F b n R y a W V z P j x F b n R y e S B U e X B l P S J J c 1 B y a X Z h d G U i I F Z h b H V l P S J s M C I g L z 4 8 R W 5 0 c n k g V H l w Z T 0 i T G 9 h Z F R v U m V w b 3 J 0 R G l z Y W J s Z W Q i I F Z h b H V l P S J s M C I g L z 4 8 R W 5 0 c n k g V H l w Z T 0 i R m l s b E V u Y W J s Z W Q i I F Z h b H V l P S J s M S I g L z 4 8 R W 5 0 c n k g V H l w Z T 0 i R m l s b E 9 i a m V j d F R 5 c G U i I F Z h b H V l P S J z V G F i b G U i I C 8 + P E V u d H J 5 I F R 5 c G U 9 I k Z p b G x U b 0 R h d G F N b 2 R l b E V u Y W J s Z W Q i I F Z h b H V l P S J s M C I g L z 4 8 R W 5 0 c n k g V H l w Z T 0 i U X V l c n l J R C I g V m F s d W U 9 I n M 1 Y z h h N W U 2 M y 0 x M T g 0 L T Q z N W Y t O T M y Z i 1 h O G E y Y j R h O W M 4 N 2 M i I C 8 + P E V u d H J 5 I F R 5 c G U 9 I k J 1 Z m Z l c k 5 l e H R S Z W Z y Z X N o I i B W Y W x 1 Z T 0 i b D E i I C 8 + P E V u d H J 5 I F R 5 c G U 9 I l J l c 3 V s d F R 5 c G U i I F Z h b H V l P S J z V G F i b G U i I C 8 + P E V u d H J 5 I F R 5 c G U 9 I k 5 h b W V V c G R h d G V k Q W Z 0 Z X J G a W x s I i B W Y W x 1 Z T 0 i b D A i I C 8 + P E V u d H J 5 I F R 5 c G U 9 I k Z p b G x U Y X J n Z X Q i I F Z h b H V l P S J z R 0 t W S S I g L z 4 8 R W 5 0 c n k g V H l w Z T 0 i R m l s b G V k Q 2 9 t c G x l d G V S Z X N 1 b H R U b 1 d v c m t z a G V l d C I g V m F s d W U 9 I m w x I i A v P j x F b n R y e S B U e X B l P S J G a W x s V G F y Z 2 V 0 T m F t Z U N 1 c 3 R v b W l 6 Z W Q i I F Z h b H V l P S J s M S I g L z 4 8 R W 5 0 c n k g V H l w Z T 0 i R m l s b E x h c 3 R V c G R h d G V k I i B W Y W x 1 Z T 0 i Z D I w M j Y t M D E t M D F U M D k 6 M z A 6 N T A u N T Q x N z M y M F o i I C 8 + P E V u d H J 5 I F R 5 c G U 9 I k Z p b G x D b 2 x 1 b W 5 U e X B l c y I g V m F s d W U 9 I n N B d 2 N H Q m d Z R E F 3 T U R B d 0 1 E Q X d N R E F 3 T U R C Z 2 M 9 I i A v P j x F b n R y e S B U e X B l P S J G a W x s R X J y b 3 J D b 3 V u d C I g V m F s d W U 9 I m w w I i A v P j x F b n R y e S B U e X B l P S J G a W x s Q 2 9 s d W 1 u T m F t Z X M i I F Z h b H V l P S J z W y Z x d W 9 0 O 0 l u e m V u Z G l u Z y 1 J R C Z x d W 9 0 O y w m c X V v d D t J b n p l b m R k Y X R 1 b S Z x d W 9 0 O y w m c X V v d D t H S 1 Z J J n F 1 b 3 Q 7 L C Z x d W 9 0 O 1 Z l c m V u a W d p b m d z b n V t b W V y J n F 1 b 3 Q 7 L C Z x d W 9 0 O 0 5 h Y W 0 g d m V y Z W 5 p Z 2 l u Z y Z x d W 9 0 O y w m c X V v d D t L b 3 J w c y B r b G F z c 2 l l a y B z Z W 5 p b 3 J l b i Z x d W 9 0 O y w m c X V v d D t L b 3 J w c y A x I G t s Y X N z a W V r I G p 1 b m l v c m V u J n F 1 b 3 Q 7 L C Z x d W 9 0 O 0 t v c n B z I D I g a 2 x h c 3 N p Z W s g a n V u a W 9 y Z W 4 m c X V v d D s s J n F 1 b 3 Q 7 S 2 9 y c H M g M S B r b G F z c 2 l l a y B h c 3 B p c m F u d G V u J n F 1 b 3 Q 7 L C Z x d W 9 0 O 0 t v c n B z I D I g a 2 x h c 3 N p Z W s g Y X N w a X J h b n R l b i Z x d W 9 0 O y w m c X V v d D t L b 3 J w c y B h Y 3 J v Y i 4 g c 2 V u a W 9 y Z W 4 m c X V v d D s s J n F 1 b 3 Q 7 S 2 9 y c H M g Y W N y b 2 I u I G p 1 b m l v c m V u J n F 1 b 3 Q 7 L C Z x d W 9 0 O 0 t v c n B z I G F j c m 9 i L i B h c 3 B p c m F u d G V u J n F 1 b 3 Q 7 L C Z x d W 9 0 O 0 F j c m 9 i L i B z Z W 5 p b 3 J l b i B p b m R p d i 4 m c X V v d D s s J n F 1 b 3 Q 7 Q W N y b 2 I u I G p 1 b m l v c m V u I G l u Z G l 2 L i Z x d W 9 0 O y w m c X V v d D t B Y 3 J v Y i 4 g Y X N w a X J h b n R l b i B p b m R p d i 4 m c X V v d D s s J n F 1 b 3 Q 7 Q W F u d G F s I G R l Z W x u Z W 1 l c n M m c X V v d D s s J n F 1 b 3 Q 7 S G l l c n Z h b i B p c y B h c 3 B p c m F u d C Z x d W 9 0 O y w m c X V v d D t P c G 1 l c m t p b m d l b i Z x d W 9 0 O y w m c X V v d D t E Y X R l I F V w Z G F 0 Z W Q m c X V v d D t d I i A v P j x F b n R y e S B U e X B l P S J G a W x s R X J y b 3 J D b 2 R l I i B W Y W x 1 Z T 0 i c 1 V u a 2 5 v d 2 4 i I C 8 + P E V u d H J 5 I F R 5 c G U 9 I k Z p b G x T d G F 0 d X M i I F Z h b H V l P S J z Q 2 9 t c G x l d G U i I C 8 + P E V u d H J 5 I F R 5 c G U 9 I k Z p b G x D b 3 V u d C I g V m F s d W U 9 I m w z M i I g L z 4 8 R W 5 0 c n k g V H l w Z T 0 i U m V s Y X R p b 2 5 z a G l w S W 5 m b 0 N v b n R h a W 5 l c i I g V m F s d W U 9 I n N 7 J n F 1 b 3 Q 7 Y 2 9 s d W 1 u Q 2 9 1 b n Q m c X V v d D s 6 M j A s J n F 1 b 3 Q 7 a 2 V 5 Q 2 9 s d W 1 u T m F t Z X M m c X V v d D s 6 W 1 0 s J n F 1 b 3 Q 7 c X V l c n l S Z W x h d G l v b n N o a X B z J n F 1 b 3 Q 7 O l t d L C Z x d W 9 0 O 2 N v b H V t b k l k Z W 5 0 a X R p Z X M m c X V v d D s 6 W y Z x d W 9 0 O 1 N l Y 3 R p b 2 4 x L 0 d L V k k v Q X V 0 b 1 J l b W 9 2 Z W R D b 2 x 1 b W 5 z M S 5 7 S W 5 6 Z W 5 k a W 5 n L U l E L D B 9 J n F 1 b 3 Q 7 L C Z x d W 9 0 O 1 N l Y 3 R p b 2 4 x L 0 d L V k k v Q X V 0 b 1 J l b W 9 2 Z W R D b 2 x 1 b W 5 z M S 5 7 S W 5 6 Z W 5 k Z G F 0 d W 0 s M X 0 m c X V v d D s s J n F 1 b 3 Q 7 U 2 V j d G l v b j E v R 0 t W S S 9 B d X R v U m V t b 3 Z l Z E N v b H V t b n M x L n t H S 1 Z J L D J 9 J n F 1 b 3 Q 7 L C Z x d W 9 0 O 1 N l Y 3 R p b 2 4 x L 0 d L V k k v Q X V 0 b 1 J l b W 9 2 Z W R D b 2 x 1 b W 5 z M S 5 7 V m V y Z W 5 p Z 2 l u Z 3 N u d W 1 t Z X I s M 3 0 m c X V v d D s s J n F 1 b 3 Q 7 U 2 V j d G l v b j E v R 0 t W S S 9 B d X R v U m V t b 3 Z l Z E N v b H V t b n M x L n t O Y W F t I H Z l c m V u a W d p b m c s N H 0 m c X V v d D s s J n F 1 b 3 Q 7 U 2 V j d G l v b j E v R 0 t W S S 9 B d X R v U m V t b 3 Z l Z E N v b H V t b n M x L n t L b 3 J w c y B r b G F z c 2 l l a y B z Z W 5 p b 3 J l b i w 1 f S Z x d W 9 0 O y w m c X V v d D t T Z W N 0 a W 9 u M S 9 H S 1 Z J L 0 F 1 d G 9 S Z W 1 v d m V k Q 2 9 s d W 1 u c z E u e 0 t v c n B z I D E g a 2 x h c 3 N p Z W s g a n V u a W 9 y Z W 4 s N n 0 m c X V v d D s s J n F 1 b 3 Q 7 U 2 V j d G l v b j E v R 0 t W S S 9 B d X R v U m V t b 3 Z l Z E N v b H V t b n M x L n t L b 3 J w c y A y I G t s Y X N z a W V r I G p 1 b m l v c m V u L D d 9 J n F 1 b 3 Q 7 L C Z x d W 9 0 O 1 N l Y 3 R p b 2 4 x L 0 d L V k k v Q X V 0 b 1 J l b W 9 2 Z W R D b 2 x 1 b W 5 z M S 5 7 S 2 9 y c H M g M S B r b G F z c 2 l l a y B h c 3 B p c m F u d G V u L D h 9 J n F 1 b 3 Q 7 L C Z x d W 9 0 O 1 N l Y 3 R p b 2 4 x L 0 d L V k k v Q X V 0 b 1 J l b W 9 2 Z W R D b 2 x 1 b W 5 z M S 5 7 S 2 9 y c H M g M i B r b G F z c 2 l l a y B h c 3 B p c m F u d G V u L D l 9 J n F 1 b 3 Q 7 L C Z x d W 9 0 O 1 N l Y 3 R p b 2 4 x L 0 d L V k k v Q X V 0 b 1 J l b W 9 2 Z W R D b 2 x 1 b W 5 z M S 5 7 S 2 9 y c H M g Y W N y b 2 I u I H N l b m l v c m V u L D E w f S Z x d W 9 0 O y w m c X V v d D t T Z W N 0 a W 9 u M S 9 H S 1 Z J L 0 F 1 d G 9 S Z W 1 v d m V k Q 2 9 s d W 1 u c z E u e 0 t v c n B z I G F j c m 9 i L i B q d W 5 p b 3 J l b i w x M X 0 m c X V v d D s s J n F 1 b 3 Q 7 U 2 V j d G l v b j E v R 0 t W S S 9 B d X R v U m V t b 3 Z l Z E N v b H V t b n M x L n t L b 3 J w c y B h Y 3 J v Y i 4 g Y X N w a X J h b n R l b i w x M n 0 m c X V v d D s s J n F 1 b 3 Q 7 U 2 V j d G l v b j E v R 0 t W S S 9 B d X R v U m V t b 3 Z l Z E N v b H V t b n M x L n t B Y 3 J v Y i 4 g c 2 V u a W 9 y Z W 4 g a W 5 k a X Y u L D E z f S Z x d W 9 0 O y w m c X V v d D t T Z W N 0 a W 9 u M S 9 H S 1 Z J L 0 F 1 d G 9 S Z W 1 v d m V k Q 2 9 s d W 1 u c z E u e 0 F j c m 9 i L i B q d W 5 p b 3 J l b i B p b m R p d i 4 s M T R 9 J n F 1 b 3 Q 7 L C Z x d W 9 0 O 1 N l Y 3 R p b 2 4 x L 0 d L V k k v Q X V 0 b 1 J l b W 9 2 Z W R D b 2 x 1 b W 5 z M S 5 7 Q W N y b 2 I u I G F z c G l y Y W 5 0 Z W 4 g a W 5 k a X Y u L D E 1 f S Z x d W 9 0 O y w m c X V v d D t T Z W N 0 a W 9 u M S 9 H S 1 Z J L 0 F 1 d G 9 S Z W 1 v d m V k Q 2 9 s d W 1 u c z E u e 0 F h b n R h b C B k Z W V s b m V t Z X J z L D E 2 f S Z x d W 9 0 O y w m c X V v d D t T Z W N 0 a W 9 u M S 9 H S 1 Z J L 0 F 1 d G 9 S Z W 1 v d m V k Q 2 9 s d W 1 u c z E u e 0 h p Z X J 2 Y W 4 g a X M g Y X N w a X J h b n Q s M T d 9 J n F 1 b 3 Q 7 L C Z x d W 9 0 O 1 N l Y 3 R p b 2 4 x L 0 d L V k k v Q X V 0 b 1 J l b W 9 2 Z W R D b 2 x 1 b W 5 z M S 5 7 T 3 B t Z X J r a W 5 n Z W 4 s M T h 9 J n F 1 b 3 Q 7 L C Z x d W 9 0 O 1 N l Y 3 R p b 2 4 x L 0 d L V k k v Q X V 0 b 1 J l b W 9 2 Z W R D b 2 x 1 b W 5 z M S 5 7 R G F 0 Z S B V c G R h d G V k L D E 5 f S Z x d W 9 0 O 1 0 s J n F 1 b 3 Q 7 Q 2 9 s d W 1 u Q 2 9 1 b n Q m c X V v d D s 6 M j A s J n F 1 b 3 Q 7 S 2 V 5 Q 2 9 s d W 1 u T m F t Z X M m c X V v d D s 6 W 1 0 s J n F 1 b 3 Q 7 Q 2 9 s d W 1 u S W R l b n R p d G l l c y Z x d W 9 0 O z p b J n F 1 b 3 Q 7 U 2 V j d G l v b j E v R 0 t W S S 9 B d X R v U m V t b 3 Z l Z E N v b H V t b n M x L n t J b n p l b m R p b m c t S U Q s M H 0 m c X V v d D s s J n F 1 b 3 Q 7 U 2 V j d G l v b j E v R 0 t W S S 9 B d X R v U m V t b 3 Z l Z E N v b H V t b n M x L n t J b n p l b m R k Y X R 1 b S w x f S Z x d W 9 0 O y w m c X V v d D t T Z W N 0 a W 9 u M S 9 H S 1 Z J L 0 F 1 d G 9 S Z W 1 v d m V k Q 2 9 s d W 1 u c z E u e 0 d L V k k s M n 0 m c X V v d D s s J n F 1 b 3 Q 7 U 2 V j d G l v b j E v R 0 t W S S 9 B d X R v U m V t b 3 Z l Z E N v b H V t b n M x L n t W Z X J l b m l n a W 5 n c 2 5 1 b W 1 l c i w z f S Z x d W 9 0 O y w m c X V v d D t T Z W N 0 a W 9 u M S 9 H S 1 Z J L 0 F 1 d G 9 S Z W 1 v d m V k Q 2 9 s d W 1 u c z E u e 0 5 h Y W 0 g d m V y Z W 5 p Z 2 l u Z y w 0 f S Z x d W 9 0 O y w m c X V v d D t T Z W N 0 a W 9 u M S 9 H S 1 Z J L 0 F 1 d G 9 S Z W 1 v d m V k Q 2 9 s d W 1 u c z E u e 0 t v c n B z I G t s Y X N z a W V r I H N l b m l v c m V u L D V 9 J n F 1 b 3 Q 7 L C Z x d W 9 0 O 1 N l Y 3 R p b 2 4 x L 0 d L V k k v Q X V 0 b 1 J l b W 9 2 Z W R D b 2 x 1 b W 5 z M S 5 7 S 2 9 y c H M g M S B r b G F z c 2 l l a y B q d W 5 p b 3 J l b i w 2 f S Z x d W 9 0 O y w m c X V v d D t T Z W N 0 a W 9 u M S 9 H S 1 Z J L 0 F 1 d G 9 S Z W 1 v d m V k Q 2 9 s d W 1 u c z E u e 0 t v c n B z I D I g a 2 x h c 3 N p Z W s g a n V u a W 9 y Z W 4 s N 3 0 m c X V v d D s s J n F 1 b 3 Q 7 U 2 V j d G l v b j E v R 0 t W S S 9 B d X R v U m V t b 3 Z l Z E N v b H V t b n M x L n t L b 3 J w c y A x I G t s Y X N z a W V r I G F z c G l y Y W 5 0 Z W 4 s O H 0 m c X V v d D s s J n F 1 b 3 Q 7 U 2 V j d G l v b j E v R 0 t W S S 9 B d X R v U m V t b 3 Z l Z E N v b H V t b n M x L n t L b 3 J w c y A y I G t s Y X N z a W V r I G F z c G l y Y W 5 0 Z W 4 s O X 0 m c X V v d D s s J n F 1 b 3 Q 7 U 2 V j d G l v b j E v R 0 t W S S 9 B d X R v U m V t b 3 Z l Z E N v b H V t b n M x L n t L b 3 J w c y B h Y 3 J v Y i 4 g c 2 V u a W 9 y Z W 4 s M T B 9 J n F 1 b 3 Q 7 L C Z x d W 9 0 O 1 N l Y 3 R p b 2 4 x L 0 d L V k k v Q X V 0 b 1 J l b W 9 2 Z W R D b 2 x 1 b W 5 z M S 5 7 S 2 9 y c H M g Y W N y b 2 I u I G p 1 b m l v c m V u L D E x f S Z x d W 9 0 O y w m c X V v d D t T Z W N 0 a W 9 u M S 9 H S 1 Z J L 0 F 1 d G 9 S Z W 1 v d m V k Q 2 9 s d W 1 u c z E u e 0 t v c n B z I G F j c m 9 i L i B h c 3 B p c m F u d G V u L D E y f S Z x d W 9 0 O y w m c X V v d D t T Z W N 0 a W 9 u M S 9 H S 1 Z J L 0 F 1 d G 9 S Z W 1 v d m V k Q 2 9 s d W 1 u c z E u e 0 F j c m 9 i L i B z Z W 5 p b 3 J l b i B p b m R p d i 4 s M T N 9 J n F 1 b 3 Q 7 L C Z x d W 9 0 O 1 N l Y 3 R p b 2 4 x L 0 d L V k k v Q X V 0 b 1 J l b W 9 2 Z W R D b 2 x 1 b W 5 z M S 5 7 Q W N y b 2 I u I G p 1 b m l v c m V u I G l u Z G l 2 L i w x N H 0 m c X V v d D s s J n F 1 b 3 Q 7 U 2 V j d G l v b j E v R 0 t W S S 9 B d X R v U m V t b 3 Z l Z E N v b H V t b n M x L n t B Y 3 J v Y i 4 g Y X N w a X J h b n R l b i B p b m R p d i 4 s M T V 9 J n F 1 b 3 Q 7 L C Z x d W 9 0 O 1 N l Y 3 R p b 2 4 x L 0 d L V k k v Q X V 0 b 1 J l b W 9 2 Z W R D b 2 x 1 b W 5 z M S 5 7 Q W F u d G F s I G R l Z W x u Z W 1 l c n M s M T Z 9 J n F 1 b 3 Q 7 L C Z x d W 9 0 O 1 N l Y 3 R p b 2 4 x L 0 d L V k k v Q X V 0 b 1 J l b W 9 2 Z W R D b 2 x 1 b W 5 z M S 5 7 S G l l c n Z h b i B p c y B h c 3 B p c m F u d C w x N 3 0 m c X V v d D s s J n F 1 b 3 Q 7 U 2 V j d G l v b j E v R 0 t W S S 9 B d X R v U m V t b 3 Z l Z E N v b H V t b n M x L n t P c G 1 l c m t p b m d l b i w x O H 0 m c X V v d D s s J n F 1 b 3 Q 7 U 2 V j d G l v b j E v R 0 t W S S 9 B d X R v U m V t b 3 Z l Z E N v b H V t b n M x L n t E Y X R l I F V w Z G F 0 Z W Q s M T l 9 J n F 1 b 3 Q 7 X S w m c X V v d D t S Z W x h d G l v b n N o a X B J b m Z v J n F 1 b 3 Q 7 O l t d f S I g L z 4 8 R W 5 0 c n k g V H l w Z T 0 i Q W R k Z W R U b 0 R h d G F N b 2 R l b C I g V m F s d W U 9 I m w w I i A v P j w v U 3 R h Y m x l R W 5 0 c m l l c z 4 8 L 0 l 0 Z W 0 + P E l 0 Z W 0 + P E l 0 Z W 1 M b 2 N h d G l v b j 4 8 S X R l b V R 5 c G U + R m 9 y b X V s Y T w v S X R l b V R 5 c G U + P E l 0 Z W 1 Q Y X R o P l N l Y 3 R p b 2 4 x L 0 d L V k k v Q n J v b j w v S X R l b V B h d G g + P C 9 J d G V t T G 9 j Y X R p b 2 4 + P F N 0 Y W J s Z U V u d H J p Z X M g L z 4 8 L 0 l 0 Z W 0 + P E l 0 Z W 0 + P E l 0 Z W 1 M b 2 N h d G l v b j 4 8 S X R l b V R 5 c G U + R m 9 y b X V s Y T w v S X R l b V R 5 c G U + P E l 0 Z W 1 Q Y X R o P l N l Y 3 R p b 2 4 x L 0 d L V k k v S G V h Z G V y c y U y M G 1 l d C U y M H Z l c m h v b 2 d k J T I w b m l 2 Z W F 1 P C 9 J d G V t U G F 0 a D 4 8 L 0 l 0 Z W 1 M b 2 N h d G l v b j 4 8 U 3 R h Y m x l R W 5 0 c m l l c y A v P j w v S X R l b T 4 8 S X R l b T 4 8 S X R l b U x v Y 2 F 0 a W 9 u P j x J d G V t V H l w Z T 5 G b 3 J t d W x h P C 9 J d G V t V H l w Z T 4 8 S X R l b V B h d G g + U 2 V j d G l v b j E v R 0 t W S S 9 L b 2 x v b W 1 l b i U y M H Z l c n d p a m R l c m Q 8 L 0 l 0 Z W 1 Q Y X R o P j w v S X R l b U x v Y 2 F 0 a W 9 u P j x T d G F i b G V F b n R y a W V z I C 8 + P C 9 J d G V t P j x J d G V t P j x J d G V t T G 9 j Y X R p b 2 4 + P E l 0 Z W 1 U e X B l P k Z v c m 1 1 b G E 8 L 0 l 0 Z W 1 U e X B l P j x J d G V t U G F 0 a D 5 T Z W N 0 a W 9 u M S 9 H S 1 Z J L 1 Z v b G d v c m R l J T I w d m F u J T I w a 2 9 s b 2 1 t Z W 4 l M j B n Z X d p a n p p Z 2 Q 8 L 0 l 0 Z W 1 Q Y X R o P j w v S X R l b U x v Y 2 F 0 a W 9 u P j x T d G F i b G V F b n R y a W V z I C 8 + P C 9 J d G V t P j x J d G V t P j x J d G V t T G 9 j Y X R p b 2 4 + P E l 0 Z W 1 U e X B l P k Z v c m 1 1 b G E 8 L 0 l 0 Z W 1 U e X B l P j x J d G V t U G F 0 a D 5 T Z W N 0 a W 9 u M S 9 H S 1 Z J L 0 h l d C U y M G t v b G 9 t d H l w Z S U y M G l z J T I w Z 2 V 3 a W p 6 a W d k P C 9 J d G V t U G F 0 a D 4 8 L 0 l 0 Z W 1 M b 2 N h d G l v b j 4 8 U 3 R h Y m x l R W 5 0 c m l l c y A v P j w v S X R l b T 4 8 S X R l b T 4 8 S X R l b U x v Y 2 F 0 a W 9 u P j x J d G V t V H l w Z T 5 G b 3 J t d W x h P C 9 J d G V t V H l w Z T 4 8 S X R l b V B h d G g + U 2 V j d G l v b j E v R 0 t W S S 9 B Y W 5 n Z X B h c 3 Q l M j B p d G V t J T I w d G 9 l Z 2 V 2 b 2 V n Z D w v S X R l b V B h d G g + P C 9 J d G V t T G 9 j Y X R p b 2 4 + P F N 0 Y W J s Z U V u d H J p Z X M g L z 4 8 L 0 l 0 Z W 0 + P E l 0 Z W 0 + P E l 0 Z W 1 M b 2 N h d G l v b j 4 8 S X R l b V R 5 c G U + R m 9 y b X V s Y T w v S X R l b V R 5 c G U + P E l 0 Z W 1 Q Y X R o P l N l Y 3 R p b 2 4 x L 0 d L V k k v V m 9 v c n d h Y X J k Z W x p a m t l J T I w a 2 9 s b 2 0 l M j B p b m d l d m 9 l Z 2 Q 8 L 0 l 0 Z W 1 Q Y X R o P j w v S X R l b U x v Y 2 F 0 a W 9 u P j x T d G F i b G V F b n R y a W V z I C 8 + P C 9 J d G V t P j x J d G V t P j x J d G V t T G 9 j Y X R p b 2 4 + P E l 0 Z W 1 U e X B l P k Z v c m 1 1 b G E 8 L 0 l 0 Z W 1 U e X B l P j x J d G V t U G F 0 a D 5 T Z W N 0 a W 9 u M S 9 H S 1 Z J L 0 F h b m d l c G F z d C U y M G l 0 Z W 0 l M j B 0 b 2 V n Z X Z v Z W d k M T w v S X R l b V B h d G g + P C 9 J d G V t T G 9 j Y X R p b 2 4 + P F N 0 Y W J s Z U V u d H J p Z X M g L z 4 8 L 0 l 0 Z W 0 + P E l 0 Z W 0 + P E l 0 Z W 1 M b 2 N h d G l v b j 4 8 S X R l b V R 5 c G U + R m 9 y b X V s Y T w v S X R l b V R 5 c G U + P E l 0 Z W 1 Q Y X R o P l N l Y 3 R p b 2 4 x L 0 d L V k k v V m 9 v c n d h Y X J k Z W x p a m t l J T I w a 2 9 s b 2 0 l M j B p b m d l d m 9 l Z 2 Q x P C 9 J d G V t U G F 0 a D 4 8 L 0 l 0 Z W 1 M b 2 N h d G l v b j 4 8 U 3 R h Y m x l R W 5 0 c m l l c y A v P j w v S X R l b T 4 8 S X R l b T 4 8 S X R l b U x v Y 2 F 0 a W 9 u P j x J d G V t V H l w Z T 5 G b 3 J t d W x h P C 9 J d G V t V H l w Z T 4 8 S X R l b V B h d G g + U 2 V j d G l v b j E v R 0 t W S S 9 B Y W 5 n Z X B h c 3 Q l M j B p d G V t J T I w d G 9 l Z 2 V 2 b 2 V n Z D I 8 L 0 l 0 Z W 1 Q Y X R o P j w v S X R l b U x v Y 2 F 0 a W 9 u P j x T d G F i b G V F b n R y a W V z I C 8 + P C 9 J d G V t P j x J d G V t P j x J d G V t T G 9 j Y X R p b 2 4 + P E l 0 Z W 1 U e X B l P k Z v c m 1 1 b G E 8 L 0 l 0 Z W 1 U e X B l P j x J d G V t U G F 0 a D 5 T Z W N 0 a W 9 u M S 9 H S 1 Z J L 1 Z v b 3 J 3 Y W F y Z G V s a W p r Z S U y M G t v b G 9 t J T I w a W 5 n Z X Z v Z W d k M j w v S X R l b V B h d G g + P C 9 J d G V t T G 9 j Y X R p b 2 4 + P F N 0 Y W J s Z U V u d H J p Z X M g L z 4 8 L 0 l 0 Z W 0 + P E l 0 Z W 0 + P E l 0 Z W 1 M b 2 N h d G l v b j 4 8 S X R l b V R 5 c G U + R m 9 y b X V s Y T w v S X R l b V R 5 c G U + P E l 0 Z W 1 Q Y X R o P l N l Y 3 R p b 2 4 x L 0 d L V k k v Q W F u Z 2 V w Y X N 0 J T I w a X R l b S U y M H R v Z W d l d m 9 l Z 2 Q z P C 9 J d G V t U G F 0 a D 4 8 L 0 l 0 Z W 1 M b 2 N h d G l v b j 4 8 U 3 R h Y m x l R W 5 0 c m l l c y A v P j w v S X R l b T 4 8 S X R l b T 4 8 S X R l b U x v Y 2 F 0 a W 9 u P j x J d G V t V H l w Z T 5 G b 3 J t d W x h P C 9 J d G V t V H l w Z T 4 8 S X R l b V B h d G g + U 2 V j d G l v b j E v R 0 t W S S 9 W b 2 9 y d 2 F h c m R l b G l q a 2 U l M j B r b 2 x v b S U y M G l u Z 2 V 2 b 2 V n Z D M 8 L 0 l 0 Z W 1 Q Y X R o P j w v S X R l b U x v Y 2 F 0 a W 9 u P j x T d G F i b G V F b n R y a W V z I C 8 + P C 9 J d G V t P j x J d G V t P j x J d G V t T G 9 j Y X R p b 2 4 + P E l 0 Z W 1 U e X B l P k Z v c m 1 1 b G E 8 L 0 l 0 Z W 1 U e X B l P j x J d G V t U G F 0 a D 5 T Z W N 0 a W 9 u M S 9 H S 1 Z J L 0 F h b m d l c G F z d C U y M G l 0 Z W 0 l M j B 0 b 2 V n Z X Z v Z W d k N D w v S X R l b V B h d G g + P C 9 J d G V t T G 9 j Y X R p b 2 4 + P F N 0 Y W J s Z U V u d H J p Z X M g L z 4 8 L 0 l 0 Z W 0 + P E l 0 Z W 0 + P E l 0 Z W 1 M b 2 N h d G l v b j 4 8 S X R l b V R 5 c G U + R m 9 y b X V s Y T w v S X R l b V R 5 c G U + P E l 0 Z W 1 Q Y X R o P l N l Y 3 R p b 2 4 x L 0 d L V k k v V m 9 v c n d h Y X J k Z W x p a m t l J T I w a 2 9 s b 2 0 l M j B p b m d l d m 9 l Z 2 Q 0 P C 9 J d G V t U G F 0 a D 4 8 L 0 l 0 Z W 1 M b 2 N h d G l v b j 4 8 U 3 R h Y m x l R W 5 0 c m l l c y A v P j w v S X R l b T 4 8 S X R l b T 4 8 S X R l b U x v Y 2 F 0 a W 9 u P j x J d G V t V H l w Z T 5 G b 3 J t d W x h P C 9 J d G V t V H l w Z T 4 8 S X R l b V B h d G g + U 2 V j d G l v b j E v R 0 t W S S 9 B Y W 5 n Z X B h c 3 Q l M j B p d G V t J T I w d G 9 l Z 2 V 2 b 2 V n Z D U 8 L 0 l 0 Z W 1 Q Y X R o P j w v S X R l b U x v Y 2 F 0 a W 9 u P j x T d G F i b G V F b n R y a W V z I C 8 + P C 9 J d G V t P j x J d G V t P j x J d G V t T G 9 j Y X R p b 2 4 + P E l 0 Z W 1 U e X B l P k Z v c m 1 1 b G E 8 L 0 l 0 Z W 1 U e X B l P j x J d G V t U G F 0 a D 5 T Z W N 0 a W 9 u M S 9 H S 1 Z J L 1 Z v b 3 J 3 Y W F y Z G V s a W p r Z S U y M G t v b G 9 t J T I w a W 5 n Z X Z v Z W d k N T w v S X R l b V B h d G g + P C 9 J d G V t T G 9 j Y X R p b 2 4 + P F N 0 Y W J s Z U V u d H J p Z X M g L z 4 8 L 0 l 0 Z W 0 + P E l 0 Z W 0 + P E l 0 Z W 1 M b 2 N h d G l v b j 4 8 S X R l b V R 5 c G U + R m 9 y b X V s Y T w v S X R l b V R 5 c G U + P E l 0 Z W 1 Q Y X R o P l N l Y 3 R p b 2 4 x L 0 d L V k k v Q W F u Z 2 V w Y X N 0 J T I w a X R l b S U y M H R v Z W d l d m 9 l Z 2 Q 2 P C 9 J d G V t U G F 0 a D 4 8 L 0 l 0 Z W 1 M b 2 N h d G l v b j 4 8 U 3 R h Y m x l R W 5 0 c m l l c y A v P j w v S X R l b T 4 8 S X R l b T 4 8 S X R l b U x v Y 2 F 0 a W 9 u P j x J d G V t V H l w Z T 5 G b 3 J t d W x h P C 9 J d G V t V H l w Z T 4 8 S X R l b V B h d G g + U 2 V j d G l v b j E v R 0 t W S S 9 W b 2 9 y d 2 F h c m R l b G l q a 2 U l M j B r b 2 x v b S U y M G l u Z 2 V 2 b 2 V n Z D Y 8 L 0 l 0 Z W 1 Q Y X R o P j w v S X R l b U x v Y 2 F 0 a W 9 u P j x T d G F i b G V F b n R y a W V z I C 8 + P C 9 J d G V t P j x J d G V t P j x J d G V t T G 9 j Y X R p b 2 4 + P E l 0 Z W 1 U e X B l P k Z v c m 1 1 b G E 8 L 0 l 0 Z W 1 U e X B l P j x J d G V t U G F 0 a D 5 T Z W N 0 a W 9 u M S 9 H S 1 Z J L 0 F h b m d l c G F z d C U y M G l 0 Z W 0 l M j B 0 b 2 V n Z X Z v Z W d k N z w v S X R l b V B h d G g + P C 9 J d G V t T G 9 j Y X R p b 2 4 + P F N 0 Y W J s Z U V u d H J p Z X M g L z 4 8 L 0 l 0 Z W 0 + P E l 0 Z W 0 + P E l 0 Z W 1 M b 2 N h d G l v b j 4 8 S X R l b V R 5 c G U + R m 9 y b X V s Y T w v S X R l b V R 5 c G U + P E l 0 Z W 1 Q Y X R o P l N l Y 3 R p b 2 4 x L 0 d L V k k v V m 9 v c n d h Y X J k Z W x p a m t l J T I w a 2 9 s b 2 0 l M j B p b m d l d m 9 l Z 2 Q 3 P C 9 J d G V t U G F 0 a D 4 8 L 0 l 0 Z W 1 M b 2 N h d G l v b j 4 8 U 3 R h Y m x l R W 5 0 c m l l c y A v P j w v S X R l b T 4 8 S X R l b T 4 8 S X R l b U x v Y 2 F 0 a W 9 u P j x J d G V t V H l w Z T 5 G b 3 J t d W x h P C 9 J d G V t V H l w Z T 4 8 S X R l b V B h d G g + U 2 V j d G l v b j E v R 0 t W S S 9 B Y W 5 n Z X B h c 3 Q l M j B p d G V t J T I w d G 9 l Z 2 V 2 b 2 V n Z D g 8 L 0 l 0 Z W 1 Q Y X R o P j w v S X R l b U x v Y 2 F 0 a W 9 u P j x T d G F i b G V F b n R y a W V z I C 8 + P C 9 J d G V t P j x J d G V t P j x J d G V t T G 9 j Y X R p b 2 4 + P E l 0 Z W 1 U e X B l P k Z v c m 1 1 b G E 8 L 0 l 0 Z W 1 U e X B l P j x J d G V t U G F 0 a D 5 T Z W N 0 a W 9 u M S 9 H S 1 Z J L 1 Z v b 3 J 3 Y W F y Z G V s a W p r Z S U y M G t v b G 9 t J T I w a W 5 n Z X Z v Z W d k O D w v S X R l b V B h d G g + P C 9 J d G V t T G 9 j Y X R p b 2 4 + P F N 0 Y W J s Z U V u d H J p Z X M g L z 4 8 L 0 l 0 Z W 0 + P E l 0 Z W 0 + P E l 0 Z W 1 M b 2 N h d G l v b j 4 8 S X R l b V R 5 c G U + R m 9 y b X V s Y T w v S X R l b V R 5 c G U + P E l 0 Z W 1 Q Y X R o P l N l Y 3 R p b 2 4 x L 0 d L V k k v Q W F u Z 2 V w Y X N 0 J T I w a X R l b S U y M H R v Z W d l d m 9 l Z 2 Q 5 P C 9 J d G V t U G F 0 a D 4 8 L 0 l 0 Z W 1 M b 2 N h d G l v b j 4 8 U 3 R h Y m x l R W 5 0 c m l l c y A v P j w v S X R l b T 4 8 S X R l b T 4 8 S X R l b U x v Y 2 F 0 a W 9 u P j x J d G V t V H l w Z T 5 G b 3 J t d W x h P C 9 J d G V t V H l w Z T 4 8 S X R l b V B h d G g + U 2 V j d G l v b j E v R 0 t W S S 9 W b 2 9 y d 2 F h c m R l b G l q a 2 U l M j B r b 2 x v b S U y M G l u Z 2 V 2 b 2 V n Z D k 8 L 0 l 0 Z W 1 Q Y X R o P j w v S X R l b U x v Y 2 F 0 a W 9 u P j x T d G F i b G V F b n R y a W V z I C 8 + P C 9 J d G V t P j x J d G V t P j x J d G V t T G 9 j Y X R p b 2 4 + P E l 0 Z W 1 U e X B l P k Z v c m 1 1 b G E 8 L 0 l 0 Z W 1 U e X B l P j x J d G V t U G F 0 a D 5 T Z W N 0 a W 9 u M S 9 H S 1 Z J L 0 F h b m d l c G F z d C U y M G l 0 Z W 0 l M j B 0 b 2 V n Z X Z v Z W d k M T A 8 L 0 l 0 Z W 1 Q Y X R o P j w v S X R l b U x v Y 2 F 0 a W 9 u P j x T d G F i b G V F b n R y a W V z I C 8 + P C 9 J d G V t P j x J d G V t P j x J d G V t T G 9 j Y X R p b 2 4 + P E l 0 Z W 1 U e X B l P k Z v c m 1 1 b G E 8 L 0 l 0 Z W 1 U e X B l P j x J d G V t U G F 0 a D 5 T Z W N 0 a W 9 u M S 9 H S 1 Z J L 1 Z v b 3 J 3 Y W F y Z G V s a W p r Z S U y M G t v b G 9 t J T I w a W 5 n Z X Z v Z W d k M T A 8 L 0 l 0 Z W 1 Q Y X R o P j w v S X R l b U x v Y 2 F 0 a W 9 u P j x T d G F i b G V F b n R y a W V z I C 8 + P C 9 J d G V t P j x J d G V t P j x J d G V t T G 9 j Y X R p b 2 4 + P E l 0 Z W 1 U e X B l P k Z v c m 1 1 b G E 8 L 0 l 0 Z W 1 U e X B l P j x J d G V t U G F 0 a D 5 T Z W N 0 a W 9 u M S 9 H S 1 Z J L 0 F h b m d l c G F z d C U y M G l 0 Z W 0 l M j B 0 b 2 V n Z X Z v Z W d k M T E 8 L 0 l 0 Z W 1 Q Y X R o P j w v S X R l b U x v Y 2 F 0 a W 9 u P j x T d G F i b G V F b n R y a W V z I C 8 + P C 9 J d G V t P j x J d G V t P j x J d G V t T G 9 j Y X R p b 2 4 + P E l 0 Z W 1 U e X B l P k Z v c m 1 1 b G E 8 L 0 l 0 Z W 1 U e X B l P j x J d G V t U G F 0 a D 5 T Z W N 0 a W 9 u M S 9 H S 1 Z J L 1 Z v b 3 J 3 Y W F y Z G V s a W p r Z S U y M G t v b G 9 t J T I w a W 5 n Z X Z v Z W d k M T E 8 L 0 l 0 Z W 1 Q Y X R o P j w v S X R l b U x v Y 2 F 0 a W 9 u P j x T d G F i b G V F b n R y a W V z I C 8 + P C 9 J d G V t P j x J d G V t P j x J d G V t T G 9 j Y X R p b 2 4 + P E l 0 Z W 1 U e X B l P k Z v c m 1 1 b G E 8 L 0 l 0 Z W 1 U e X B l P j x J d G V t U G F 0 a D 5 T Z W N 0 a W 9 u M S 9 H S 1 Z J L 0 F h b m d l c G F z d C U y M G l 0 Z W 0 l M j B 0 b 2 V n Z X Z v Z W d k M T I 8 L 0 l 0 Z W 1 Q Y X R o P j w v S X R l b U x v Y 2 F 0 a W 9 u P j x T d G F i b G V F b n R y a W V z I C 8 + P C 9 J d G V t P j x J d G V t P j x J d G V t T G 9 j Y X R p b 2 4 + P E l 0 Z W 1 U e X B l P k Z v c m 1 1 b G E 8 L 0 l 0 Z W 1 U e X B l P j x J d G V t U G F 0 a D 5 T Z W N 0 a W 9 u M S 9 H S 1 Z J L 1 Z v b 3 J 3 Y W F y Z G V s a W p r Z S U y M G t v b G 9 t J T I w a W 5 n Z X Z v Z W d k M T I 8 L 0 l 0 Z W 1 Q Y X R o P j w v S X R l b U x v Y 2 F 0 a W 9 u P j x T d G F i b G V F b n R y a W V z I C 8 + P C 9 J d G V t P j x J d G V t P j x J d G V t T G 9 j Y X R p b 2 4 + P E l 0 Z W 1 U e X B l P k Z v c m 1 1 b G E 8 L 0 l 0 Z W 1 U e X B l P j x J d G V t U G F 0 a D 5 T Z W N 0 a W 9 u M S 9 H S 1 Z J L 0 F h b m d l c G F z d C U y M G l 0 Z W 0 l M j B 0 b 2 V n Z X Z v Z W d k M T M 8 L 0 l 0 Z W 1 Q Y X R o P j w v S X R l b U x v Y 2 F 0 a W 9 u P j x T d G F i b G V F b n R y a W V z I C 8 + P C 9 J d G V t P j x J d G V t P j x J d G V t T G 9 j Y X R p b 2 4 + P E l 0 Z W 1 U e X B l P k Z v c m 1 1 b G E 8 L 0 l 0 Z W 1 U e X B l P j x J d G V t U G F 0 a D 5 T Z W N 0 a W 9 u M S 9 H S 1 Z J L 1 Z v b 3 J 3 Y W F y Z G V s a W p r Z S U y M G t v b G 9 t J T I w a W 5 n Z X Z v Z W d k M T M 8 L 0 l 0 Z W 1 Q Y X R o P j w v S X R l b U x v Y 2 F 0 a W 9 u P j x T d G F i b G V F b n R y a W V z I C 8 + P C 9 J d G V t P j x J d G V t P j x J d G V t T G 9 j Y X R p b 2 4 + P E l 0 Z W 1 U e X B l P k Z v c m 1 1 b G E 8 L 0 l 0 Z W 1 U e X B l P j x J d G V t U G F 0 a D 5 T Z W N 0 a W 9 u M S 9 H S 1 Z J L 0 F h b m d l c G F z d C U y M G l 0 Z W 0 l M j B 0 b 2 V n Z X Z v Z W d k M T Q 8 L 0 l 0 Z W 1 Q Y X R o P j w v S X R l b U x v Y 2 F 0 a W 9 u P j x T d G F i b G V F b n R y a W V z I C 8 + P C 9 J d G V t P j x J d G V t P j x J d G V t T G 9 j Y X R p b 2 4 + P E l 0 Z W 1 U e X B l P k Z v c m 1 1 b G E 8 L 0 l 0 Z W 1 U e X B l P j x J d G V t U G F 0 a D 5 T Z W N 0 a W 9 u M S 9 H S 1 Z J L 1 Z v b 3 J 3 Y W F y Z G V s a W p r Z S U y M G t v b G 9 t J T I w a W 5 n Z X Z v Z W d k M T Q 8 L 0 l 0 Z W 1 Q Y X R o P j w v S X R l b U x v Y 2 F 0 a W 9 u P j x T d G F i b G V F b n R y a W V z I C 8 + P C 9 J d G V t P j x J d G V t P j x J d G V t T G 9 j Y X R p b 2 4 + P E l 0 Z W 1 U e X B l P k Z v c m 1 1 b G E 8 L 0 l 0 Z W 1 U e X B l P j x J d G V t U G F 0 a D 5 T Z W N 0 a W 9 u M S 9 H S 1 Z J L 0 F h b m d l c G F z d C U y M G l 0 Z W 0 l M j B 0 b 2 V n Z X Z v Z W d k M T U 8 L 0 l 0 Z W 1 Q Y X R o P j w v S X R l b U x v Y 2 F 0 a W 9 u P j x T d G F i b G V F b n R y a W V z I C 8 + P C 9 J d G V t P j x J d G V t P j x J d G V t T G 9 j Y X R p b 2 4 + P E l 0 Z W 1 U e X B l P k Z v c m 1 1 b G E 8 L 0 l 0 Z W 1 U e X B l P j x J d G V t U G F 0 a D 5 T Z W N 0 a W 9 u M S 9 H S 1 Z J L 1 Z v b 3 J 3 Y W F y Z G V s a W p r Z S U y M G t v b G 9 t J T I w a W 5 n Z X Z v Z W d k M T U 8 L 0 l 0 Z W 1 Q Y X R o P j w v S X R l b U x v Y 2 F 0 a W 9 u P j x T d G F i b G V F b n R y a W V z I C 8 + P C 9 J d G V t P j x J d G V t P j x J d G V t T G 9 j Y X R p b 2 4 + P E l 0 Z W 1 U e X B l P k Z v c m 1 1 b G E 8 L 0 l 0 Z W 1 U e X B l P j x J d G V t U G F 0 a D 5 T Z W N 0 a W 9 u M S 9 H S 1 Z J L 0 F h b m d l c G F z d C U y M G l 0 Z W 0 l M j B 0 b 2 V n Z X Z v Z W d k M T Y 8 L 0 l 0 Z W 1 Q Y X R o P j w v S X R l b U x v Y 2 F 0 a W 9 u P j x T d G F i b G V F b n R y a W V z I C 8 + P C 9 J d G V t P j x J d G V t P j x J d G V t T G 9 j Y X R p b 2 4 + P E l 0 Z W 1 U e X B l P k Z v c m 1 1 b G E 8 L 0 l 0 Z W 1 U e X B l P j x J d G V t U G F 0 a D 5 T Z W N 0 a W 9 u M S 9 H S 1 Z J L 1 Z v b 3 J 3 Y W F y Z G V s a W p r Z S U y M G t v b G 9 t J T I w a W 5 n Z X Z v Z W d k M T Y 8 L 0 l 0 Z W 1 Q Y X R o P j w v S X R l b U x v Y 2 F 0 a W 9 u P j x T d G F i b G V F b n R y a W V z I C 8 + P C 9 J d G V t P j x J d G V t P j x J d G V t T G 9 j Y X R p b 2 4 + P E l 0 Z W 1 U e X B l P k Z v c m 1 1 b G E 8 L 0 l 0 Z W 1 U e X B l P j x J d G V t U G F 0 a D 5 T Z W N 0 a W 9 u M S 9 H S 1 Z J L 0 F h b m d l c G F z d C U y M G l 0 Z W 0 l M j B 0 b 2 V n Z X Z v Z W d k M T c 8 L 0 l 0 Z W 1 Q Y X R o P j w v S X R l b U x v Y 2 F 0 a W 9 u P j x T d G F i b G V F b n R y a W V z I C 8 + P C 9 J d G V t P j x J d G V t P j x J d G V t T G 9 j Y X R p b 2 4 + P E l 0 Z W 1 U e X B l P k Z v c m 1 1 b G E 8 L 0 l 0 Z W 1 U e X B l P j x J d G V t U G F 0 a D 5 T Z W N 0 a W 9 u M S 9 H S 1 Z J L 1 Z v b 3 J 3 Y W F y Z G V s a W p r Z S U y M G t v b G 9 t J T I w a W 5 n Z X Z v Z W d k M T c 8 L 0 l 0 Z W 1 Q Y X R o P j w v S X R l b U x v Y 2 F 0 a W 9 u P j x T d G F i b G V F b n R y a W V z I C 8 + P C 9 J d G V t P j x J d G V t P j x J d G V t T G 9 j Y X R p b 2 4 + P E l 0 Z W 1 U e X B l P k Z v c m 1 1 b G E 8 L 0 l 0 Z W 1 U e X B l P j x J d G V t U G F 0 a D 5 T Z W N 0 a W 9 u M S 9 H S 1 Z J L 0 F h b m d l c G F z d C U y M G l 0 Z W 0 l M j B 0 b 2 V n Z X Z v Z W d k M T g 8 L 0 l 0 Z W 1 Q Y X R o P j w v S X R l b U x v Y 2 F 0 a W 9 u P j x T d G F i b G V F b n R y a W V z I C 8 + P C 9 J d G V t P j x J d G V t P j x J d G V t T G 9 j Y X R p b 2 4 + P E l 0 Z W 1 U e X B l P k Z v c m 1 1 b G E 8 L 0 l 0 Z W 1 U e X B l P j x J d G V t U G F 0 a D 5 T Z W N 0 a W 9 u M S 9 H S 1 Z J L 1 Z v b 3 J 3 Y W F y Z G V s a W p r Z S U y M G t v b G 9 t J T I w a W 5 n Z X Z v Z W d k M T g 8 L 0 l 0 Z W 1 Q Y X R o P j w v S X R l b U x v Y 2 F 0 a W 9 u P j x T d G F i b G V F b n R y a W V z I C 8 + P C 9 J d G V t P j x J d G V t P j x J d G V t T G 9 j Y X R p b 2 4 + P E l 0 Z W 1 U e X B l P k Z v c m 1 1 b G E 8 L 0 l 0 Z W 1 U e X B l P j x J d G V t U G F 0 a D 5 T Z W N 0 a W 9 u M S 9 H S 1 Z J L 0 F h b m d l c G F z d C U y M G l 0 Z W 0 l M j B 0 b 2 V n Z X Z v Z W d k M T k 8 L 0 l 0 Z W 1 Q Y X R o P j w v S X R l b U x v Y 2 F 0 a W 9 u P j x T d G F i b G V F b n R y a W V z I C 8 + P C 9 J d G V t P j x J d G V t P j x J d G V t T G 9 j Y X R p b 2 4 + P E l 0 Z W 1 U e X B l P k Z v c m 1 1 b G E 8 L 0 l 0 Z W 1 U e X B l P j x J d G V t U G F 0 a D 5 T Z W N 0 a W 9 u M S 9 H S 1 Z J L 1 Z v b 3 J 3 Y W F y Z G V s a W p r Z S U y M G t v b G 9 t J T I w a W 5 n Z X Z v Z W d k M T k 8 L 0 l 0 Z W 1 Q Y X R o P j w v S X R l b U x v Y 2 F 0 a W 9 u P j x T d G F i b G V F b n R y a W V z I C 8 + P C 9 J d G V t P j x J d G V t P j x J d G V t T G 9 j Y X R p b 2 4 + P E l 0 Z W 1 U e X B l P k Z v c m 1 1 b G E 8 L 0 l 0 Z W 1 U e X B l P j x J d G V t U G F 0 a D 5 T Z W N 0 a W 9 u M S 9 H S 1 Z J L 0 F h b m d l c G F z d C U y M G l 0 Z W 0 l M j B 0 b 2 V n Z X Z v Z W d k M j A 8 L 0 l 0 Z W 1 Q Y X R o P j w v S X R l b U x v Y 2 F 0 a W 9 u P j x T d G F i b G V F b n R y a W V z I C 8 + P C 9 J d G V t P j x J d G V t P j x J d G V t T G 9 j Y X R p b 2 4 + P E l 0 Z W 1 U e X B l P k Z v c m 1 1 b G E 8 L 0 l 0 Z W 1 U e X B l P j x J d G V t U G F 0 a D 5 T Z W N 0 a W 9 u M S 9 H S 1 Z J L 0 F h b m d l c G F z d C U y M G l 0 Z W 0 l M j B 0 b 2 V n Z X Z v Z W d k M j E 8 L 0 l 0 Z W 1 Q Y X R o P j w v S X R l b U x v Y 2 F 0 a W 9 u P j x T d G F i b G V F b n R y a W V z I C 8 + P C 9 J d G V t P j x J d G V t P j x J d G V t T G 9 j Y X R p b 2 4 + P E l 0 Z W 1 U e X B l P k Z v c m 1 1 b G E 8 L 0 l 0 Z W 1 U e X B l P j x J d G V t U G F 0 a D 5 T Z W N 0 a W 9 u M S 9 H S 1 Z J L 0 F h b m d l c G F z d C U y M G l 0 Z W 0 l M j B 0 b 2 V n Z X Z v Z W d k M j I 8 L 0 l 0 Z W 1 Q Y X R o P j w v S X R l b U x v Y 2 F 0 a W 9 u P j x T d G F i b G V F b n R y a W V z I C 8 + P C 9 J d G V t P j x J d G V t P j x J d G V t T G 9 j Y X R p b 2 4 + P E l 0 Z W 1 U e X B l P k Z v c m 1 1 b G E 8 L 0 l 0 Z W 1 U e X B l P j x J d G V t U G F 0 a D 5 T Z W N 0 a W 9 u M S 9 H S 1 Z J L 0 5 h b W V u J T I w d m F u J T I w a 2 9 s b 2 1 t Z W 4 l M j B n Z X d p a n p p Z 2 Q 8 L 0 l 0 Z W 1 Q Y X R o P j w v S X R l b U x v Y 2 F 0 a W 9 u P j x T d G F i b G V F b n R y a W V z I C 8 + P C 9 J d G V t P j x J d G V t P j x J d G V t T G 9 j Y X R p b 2 4 + P E l 0 Z W 1 U e X B l P k Z v c m 1 1 b G E 8 L 0 l 0 Z W 1 U e X B l P j x J d G V t U G F 0 a D 5 T Z W N 0 a W 9 u M S 9 H S 1 Z J L 0 t v b G 9 t b W V u J T I w d m V y d 2 l q Z G V y Z C U y M D E 8 L 0 l 0 Z W 1 Q Y X R o P j w v S X R l b U x v Y 2 F 0 a W 9 u P j x T d G F i b G V F b n R y a W V z I C 8 + P C 9 J d G V t P j x J d G V t P j x J d G V t T G 9 j Y X R p b 2 4 + P E l 0 Z W 1 U e X B l P k Z v c m 1 1 b G E 8 L 0 l 0 Z W 1 U e X B l P j x J d G V t U G F 0 a D 5 T Z W N 0 a W 9 u M S 9 H S 1 Z J L 0 5 h b W V u J T I w d m F u J T I w a 2 9 s b 2 1 t Z W 4 l M j B n Z X d p a n p p Z 2 Q l M j A x P C 9 J d G V t U G F 0 a D 4 8 L 0 l 0 Z W 1 M b 2 N h d G l v b j 4 8 U 3 R h Y m x l R W 5 0 c m l l c y A v P j w v S X R l b T 4 8 S X R l b T 4 8 S X R l b U x v Y 2 F 0 a W 9 u P j x J d G V t V H l w Z T 5 G b 3 J t d W x h P C 9 J d G V t V H l w Z T 4 8 S X R l b V B h d G g + U 2 V j d G l v b j E v R 0 t W S S 9 I Z X Q l M j B r b 2 x v b X R 5 c G U l M j B p c y U y M G d l d 2 l q e m l n Z C U y M D E 8 L 0 l 0 Z W 1 Q Y X R o P j w v S X R l b U x v Y 2 F 0 a W 9 u P j x T d G F i b G V F b n R y a W V z I C 8 + P C 9 J d G V t P j x J d G V t P j x J d G V t T G 9 j Y X R p b 2 4 + P E l 0 Z W 1 U e X B l P k Z v c m 1 1 b G E 8 L 0 l 0 Z W 1 U e X B l P j x J d G V t U G F 0 a D 5 T Z W N 0 a W 9 u M S 9 H S 1 Z J L 0 5 h b W V u J T I w d m F u J T I w a 2 9 s b 2 1 t Z W 4 l M j B n Z X d p a n p p Z 2 Q l M j A y P C 9 J d G V t U G F 0 a D 4 8 L 0 l 0 Z W 1 M b 2 N h d G l v b j 4 8 U 3 R h Y m x l R W 5 0 c m l l c y A v P j w v S X R l b T 4 8 S X R l b T 4 8 S X R l b U x v Y 2 F 0 a W 9 u P j x J d G V t V H l w Z T 5 G b 3 J t d W x h P C 9 J d G V t V H l w Z T 4 8 S X R l b V B h d G g + U 2 V j d G l v b j E v R 0 t W S S 9 B Y W 5 n Z X B h c 3 Q l M j B p d G V t J T I w d G 9 l Z 2 V 2 b 2 V n Z C U y M D E 8 L 0 l 0 Z W 1 Q Y X R o P j w v S X R l b U x v Y 2 F 0 a W 9 u P j x T d G F i b G V F b n R y a W V z I C 8 + P C 9 J d G V t P j x J d G V t P j x J d G V t T G 9 j Y X R p b 2 4 + P E l 0 Z W 1 U e X B l P k Z v c m 1 1 b G E 8 L 0 l 0 Z W 1 U e X B l P j x J d G V t U G F 0 a D 5 T Z W N 0 a W 9 u M S 9 H S 1 Z J L 0 F h b m d l c G F z d C U y M G l 0 Z W 0 l M j B 0 b 2 V n Z X Z v Z W d k J T I w M j w v S X R l b V B h d G g + P C 9 J d G V t T G 9 j Y X R p b 2 4 + P F N 0 Y W J s Z U V u d H J p Z X M g L z 4 8 L 0 l 0 Z W 0 + P E l 0 Z W 0 + P E l 0 Z W 1 M b 2 N h d G l v b j 4 8 S X R l b V R 5 c G U + R m 9 y b X V s Y T w v S X R l b V R 5 c G U + P E l 0 Z W 1 Q Y X R o P l N l Y 3 R p b 2 4 x L 0 d L V k k v S G V 0 J T I w a 2 9 s b 2 1 0 e X B l J T I w a X M l M j B n Z X d p a n p p Z 2 Q l M j A y P C 9 J d G V t U G F 0 a D 4 8 L 0 l 0 Z W 1 M b 2 N h d G l v b j 4 8 U 3 R h Y m x l R W 5 0 c m l l c y A v P j w v S X R l b T 4 8 S X R l b T 4 8 S X R l b U x v Y 2 F 0 a W 9 u P j x J d G V t V H l w Z T 5 G b 3 J t d W x h P C 9 J d G V t V H l w Z T 4 8 S X R l b V B h d G g + U 2 V j d G l v b j E v R 0 t W S S 9 L b 2 x v b W 1 l b i U y M H Z l c n d p a m R l c m Q l M j A y P C 9 J d G V t U G F 0 a D 4 8 L 0 l 0 Z W 1 M b 2 N h d G l v b j 4 8 U 3 R h Y m x l R W 5 0 c m l l c y A v P j w v S X R l b T 4 8 S X R l b T 4 8 S X R l b U x v Y 2 F 0 a W 9 u P j x J d G V t V H l w Z T 5 G b 3 J t d W x h P C 9 J d G V t V H l w Z T 4 8 S X R l b V B h d G g + U 2 V j d G l v b j E v R 0 t W S S 9 I Z X Q l M j B r b 2 x v b X R 5 c G U l M j B p c y U y M G d l d 2 l q e m l n Z C U y M D M 8 L 0 l 0 Z W 1 Q Y X R o P j w v S X R l b U x v Y 2 F 0 a W 9 u P j x T d G F i b G V F b n R y a W V z I C 8 + P C 9 J d G V t P j x J d G V t P j x J d G V t T G 9 j Y X R p b 2 4 + P E l 0 Z W 1 U e X B l P k Z v c m 1 1 b G E 8 L 0 l 0 Z W 1 U e X B l P j x J d G V t U G F 0 a D 5 T Z W N 0 a W 9 u M S 9 H S 1 Z J L 1 Z v b G d v c m R l J T I w d m F u J T I w a 2 9 s b 2 1 t Z W 4 l M j B n Z X d p a n p p Z 2 Q l M j A x P C 9 J d G V t U G F 0 a D 4 8 L 0 l 0 Z W 1 M b 2 N h d G l v b j 4 8 U 3 R h Y m x l R W 5 0 c m l l c y A v P j w v S X R l b T 4 8 S X R l b T 4 8 S X R l b U x v Y 2 F 0 a W 9 u P j x J d G V t V H l w Z T 5 G b 3 J t d W x h P C 9 J d G V t V H l w Z T 4 8 S X R l b V B h d G g + U 2 V j d G l v b j E v Q m l l b G V t Y W 5 0 c m V m Z m V u 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M D c x M G N l Y z I t O T R k Y i 0 0 M G E 4 L W I 3 M j Y t Y z Q 1 Z T Z j N T g y Y z E z I i A v P j x F b n R y e S B U e X B l P S J C d W Z m Z X J O Z X h 0 U m V m c m V z a C I g V m F s d W U 9 I m w x I i A v P j x F b n R y e S B U e X B l P S J S Z X N 1 b H R U e X B l I i B W Y W x 1 Z T 0 i c 1 R h Y m x l I i A v P j x F b n R y e S B U e X B l P S J O Y W 1 l V X B k Y X R l Z E F m d G V y R m l s b C I g V m F s d W U 9 I m w w I i A v P j x F b n R y e S B U e X B l P S J G a W x s V G F y Z 2 V 0 I i B W Y W x 1 Z T 0 i c 0 J p Z W x l b W F u d H J l Z m Z l b i I g L z 4 8 R W 5 0 c n k g V H l w Z T 0 i R m l s b G V k Q 2 9 t c G x l d G V S Z X N 1 b H R U b 1 d v c m t z a G V l d C I g V m F s d W U 9 I m w x I i A v P j x F b n R y e S B U e X B l P S J G a W x s T G F z d F V w Z G F 0 Z W Q i I F Z h b H V l P S J k M j A y N i 0 w M S 0 w M V Q w O T o z M D o 1 N y 4 z O D g 1 O D A w W i I g L z 4 8 R W 5 0 c n k g V H l w Z T 0 i R m l s b E N v b H V t b l R 5 c G V z I i B W Y W x 1 Z T 0 i c 0 J n W U d B Q U F B Q U F Z R E J 3 Y z 0 i I C 8 + P E V u d H J 5 I F R 5 c G U 9 I k Z p b G x F c n J v c k N v d W 5 0 I i B W Y W x 1 Z T 0 i b D A i I C 8 + P E V u d H J 5 I F R 5 c G U 9 I k Z p b G x D b 2 x 1 b W 5 O Y W 1 l c y I g V m F s d W U 9 I n N b J n F 1 b 3 Q 7 Q k l F T C Z x d W 9 0 O y w m c X V v d D t W Z X J l b m l n a W 5 n c 2 5 1 b W 1 l c i Z x d W 9 0 O y w m c X V v d D t O Y W F t I H Z l c m V u a W d p b m c m c X V v d D s s J n F 1 b 3 Q 7 U 2 V u a W 9 y Z W 4 m c X V v d D s s J n F 1 b 3 Q 7 S m 9 u Z y B W b 2 x 3 Y X N z Z W 5 l J n F 1 b 3 Q 7 L C Z x d W 9 0 O 0 p 1 b m l v c m V u J n F 1 b 3 Q 7 L C Z x d W 9 0 O 0 F z c G l y Y W 5 0 Z W 4 m c X V v d D s s J n F 1 b 3 Q 7 T 3 B t Z X J r a W 5 n Z W 4 v d G 9 l b G l j a H R p b m c m c X V v d D s s J n F 1 b 3 Q 7 S W 5 6 Z W 5 k a W 5 n L U l E J n F 1 b 3 Q 7 L C Z x d W 9 0 O 0 l u e m V u Z G R h d H V t J n F 1 b 3 Q 7 L C Z x d W 9 0 O 0 R h d G U g V X B k Y X R l Z C Z x d W 9 0 O 1 0 i I C 8 + P E V u d H J 5 I F R 5 c G U 9 I k Z p b G x F c n J v c k N v Z G U i I F Z h b H V l P S J z V W 5 r b m 9 3 b i I g L z 4 8 R W 5 0 c n k g V H l w Z T 0 i R m l s b F N 0 Y X R 1 c y I g V m F s d W U 9 I n N D b 2 1 w b G V 0 Z S I g L z 4 8 R W 5 0 c n k g V H l w Z T 0 i R m l s b E N v d W 5 0 I i B W Y W x 1 Z T 0 i b D I x I i A v P j x F b n R y e S B U e X B l P S J S Z W x h d G l v b n N o a X B J b m Z v Q 2 9 u d G F p b m V y I i B W Y W x 1 Z T 0 i c 3 s m c X V v d D t j b 2 x 1 b W 5 D b 3 V u d C Z x d W 9 0 O z o x M S w m c X V v d D t r Z X l D b 2 x 1 b W 5 O Y W 1 l c y Z x d W 9 0 O z p b X S w m c X V v d D t x d W V y e V J l b G F 0 a W 9 u c 2 h p c H M m c X V v d D s 6 W 1 0 s J n F 1 b 3 Q 7 Y 2 9 s d W 1 u S W R l b n R p d G l l c y Z x d W 9 0 O z p b J n F 1 b 3 Q 7 U 2 V j d G l v b j E v Q m l l b G V t Y W 5 0 c m V m Z m V u L 0 F 1 d G 9 S Z W 1 v d m V k Q 2 9 s d W 1 u c z E u e 0 J J R U w s M H 0 m c X V v d D s s J n F 1 b 3 Q 7 U 2 V j d G l v b j E v Q m l l b G V t Y W 5 0 c m V m Z m V u L 0 F 1 d G 9 S Z W 1 v d m V k Q 2 9 s d W 1 u c z E u e 1 Z l c m V u a W d p b m d z b n V t b W V y L D F 9 J n F 1 b 3 Q 7 L C Z x d W 9 0 O 1 N l Y 3 R p b 2 4 x L 0 J p Z W x l b W F u d H J l Z m Z l b i 9 B d X R v U m V t b 3 Z l Z E N v b H V t b n M x L n t O Y W F t I H Z l c m V u a W d p b m c s M n 0 m c X V v d D s s J n F 1 b 3 Q 7 U 2 V j d G l v b j E v Q m l l b G V t Y W 5 0 c m V m Z m V u L 0 F 1 d G 9 S Z W 1 v d m V k Q 2 9 s d W 1 u c z E u e 1 N l b m l v c m V u L D N 9 J n F 1 b 3 Q 7 L C Z x d W 9 0 O 1 N l Y 3 R p b 2 4 x L 0 J p Z W x l b W F u d H J l Z m Z l b i 9 B d X R v U m V t b 3 Z l Z E N v b H V t b n M x L n t K b 2 5 n I F Z v b H d h c 3 N l b m U s N H 0 m c X V v d D s s J n F 1 b 3 Q 7 U 2 V j d G l v b j E v Q m l l b G V t Y W 5 0 c m V m Z m V u L 0 F 1 d G 9 S Z W 1 v d m V k Q 2 9 s d W 1 u c z E u e 0 p 1 b m l v c m V u L D V 9 J n F 1 b 3 Q 7 L C Z x d W 9 0 O 1 N l Y 3 R p b 2 4 x L 0 J p Z W x l b W F u d H J l Z m Z l b i 9 B d X R v U m V t b 3 Z l Z E N v b H V t b n M x L n t B c 3 B p c m F u d G V u L D Z 9 J n F 1 b 3 Q 7 L C Z x d W 9 0 O 1 N l Y 3 R p b 2 4 x L 0 J p Z W x l b W F u d H J l Z m Z l b i 9 B d X R v U m V t b 3 Z l Z E N v b H V t b n M x L n t P c G 1 l c m t p b m d l b i 9 0 b 2 V s a W N o d G l u Z y w 3 f S Z x d W 9 0 O y w m c X V v d D t T Z W N 0 a W 9 u M S 9 C a W V s Z W 1 h b n R y Z W Z m Z W 4 v Q X V 0 b 1 J l b W 9 2 Z W R D b 2 x 1 b W 5 z M S 5 7 S W 5 6 Z W 5 k a W 5 n L U l E L D h 9 J n F 1 b 3 Q 7 L C Z x d W 9 0 O 1 N l Y 3 R p b 2 4 x L 0 J p Z W x l b W F u d H J l Z m Z l b i 9 B d X R v U m V t b 3 Z l Z E N v b H V t b n M x L n t J b n p l b m R k Y X R 1 b S w 5 f S Z x d W 9 0 O y w m c X V v d D t T Z W N 0 a W 9 u M S 9 C a W V s Z W 1 h b n R y Z W Z m Z W 4 v Q X V 0 b 1 J l b W 9 2 Z W R D b 2 x 1 b W 5 z M S 5 7 R G F 0 Z S B V c G R h d G V k L D E w f S Z x d W 9 0 O 1 0 s J n F 1 b 3 Q 7 Q 2 9 s d W 1 u Q 2 9 1 b n Q m c X V v d D s 6 M T E s J n F 1 b 3 Q 7 S 2 V 5 Q 2 9 s d W 1 u T m F t Z X M m c X V v d D s 6 W 1 0 s J n F 1 b 3 Q 7 Q 2 9 s d W 1 u S W R l b n R p d G l l c y Z x d W 9 0 O z p b J n F 1 b 3 Q 7 U 2 V j d G l v b j E v Q m l l b G V t Y W 5 0 c m V m Z m V u L 0 F 1 d G 9 S Z W 1 v d m V k Q 2 9 s d W 1 u c z E u e 0 J J R U w s M H 0 m c X V v d D s s J n F 1 b 3 Q 7 U 2 V j d G l v b j E v Q m l l b G V t Y W 5 0 c m V m Z m V u L 0 F 1 d G 9 S Z W 1 v d m V k Q 2 9 s d W 1 u c z E u e 1 Z l c m V u a W d p b m d z b n V t b W V y L D F 9 J n F 1 b 3 Q 7 L C Z x d W 9 0 O 1 N l Y 3 R p b 2 4 x L 0 J p Z W x l b W F u d H J l Z m Z l b i 9 B d X R v U m V t b 3 Z l Z E N v b H V t b n M x L n t O Y W F t I H Z l c m V u a W d p b m c s M n 0 m c X V v d D s s J n F 1 b 3 Q 7 U 2 V j d G l v b j E v Q m l l b G V t Y W 5 0 c m V m Z m V u L 0 F 1 d G 9 S Z W 1 v d m V k Q 2 9 s d W 1 u c z E u e 1 N l b m l v c m V u L D N 9 J n F 1 b 3 Q 7 L C Z x d W 9 0 O 1 N l Y 3 R p b 2 4 x L 0 J p Z W x l b W F u d H J l Z m Z l b i 9 B d X R v U m V t b 3 Z l Z E N v b H V t b n M x L n t K b 2 5 n I F Z v b H d h c 3 N l b m U s N H 0 m c X V v d D s s J n F 1 b 3 Q 7 U 2 V j d G l v b j E v Q m l l b G V t Y W 5 0 c m V m Z m V u L 0 F 1 d G 9 S Z W 1 v d m V k Q 2 9 s d W 1 u c z E u e 0 p 1 b m l v c m V u L D V 9 J n F 1 b 3 Q 7 L C Z x d W 9 0 O 1 N l Y 3 R p b 2 4 x L 0 J p Z W x l b W F u d H J l Z m Z l b i 9 B d X R v U m V t b 3 Z l Z E N v b H V t b n M x L n t B c 3 B p c m F u d G V u L D Z 9 J n F 1 b 3 Q 7 L C Z x d W 9 0 O 1 N l Y 3 R p b 2 4 x L 0 J p Z W x l b W F u d H J l Z m Z l b i 9 B d X R v U m V t b 3 Z l Z E N v b H V t b n M x L n t P c G 1 l c m t p b m d l b i 9 0 b 2 V s a W N o d G l u Z y w 3 f S Z x d W 9 0 O y w m c X V v d D t T Z W N 0 a W 9 u M S 9 C a W V s Z W 1 h b n R y Z W Z m Z W 4 v Q X V 0 b 1 J l b W 9 2 Z W R D b 2 x 1 b W 5 z M S 5 7 S W 5 6 Z W 5 k a W 5 n L U l E L D h 9 J n F 1 b 3 Q 7 L C Z x d W 9 0 O 1 N l Y 3 R p b 2 4 x L 0 J p Z W x l b W F u d H J l Z m Z l b i 9 B d X R v U m V t b 3 Z l Z E N v b H V t b n M x L n t J b n p l b m R k Y X R 1 b S w 5 f S Z x d W 9 0 O y w m c X V v d D t T Z W N 0 a W 9 u M S 9 C a W V s Z W 1 h b n R y Z W Z m Z W 4 v Q X V 0 b 1 J l b W 9 2 Z W R D b 2 x 1 b W 5 z M S 5 7 R G F 0 Z S B V c G R h d G V k L D E w f S Z x d W 9 0 O 1 0 s J n F 1 b 3 Q 7 U m V s Y X R p b 2 5 z a G l w S W 5 m b y Z x d W 9 0 O z p b X X 0 i I C 8 + P E V u d H J 5 I F R 5 c G U 9 I k F k Z G V k V G 9 E Y X R h T W 9 k Z W w i I F Z h b H V l P S J s M C I g L z 4 8 L 1 N 0 Y W J s Z U V u d H J p Z X M + P C 9 J d G V t P j x J d G V t P j x J d G V t T G 9 j Y X R p b 2 4 + P E l 0 Z W 1 U e X B l P k Z v c m 1 1 b G E 8 L 0 l 0 Z W 1 U e X B l P j x J d G V t U G F 0 a D 5 T Z W N 0 a W 9 u M S 9 C a W V s Z W 1 h b n R y Z W Z m Z W 4 v Q n J v b j w v S X R l b V B h d G g + P C 9 J d G V t T G 9 j Y X R p b 2 4 + P F N 0 Y W J s Z U V u d H J p Z X M g L z 4 8 L 0 l 0 Z W 0 + P E l 0 Z W 0 + P E l 0 Z W 1 M b 2 N h d G l v b j 4 8 S X R l b V R 5 c G U + R m 9 y b X V s Y T w v S X R l b V R 5 c G U + P E l 0 Z W 1 Q Y X R o P l N l Y 3 R p b 2 4 x L 0 J p Z W x l b W F u d H J l Z m Z l b i 9 I Z W F k Z X J z J T I w b W V 0 J T I w d m V y a G 9 v Z 2 Q l M j B u a X Z l Y X U 8 L 0 l 0 Z W 1 Q Y X R o P j w v S X R l b U x v Y 2 F 0 a W 9 u P j x T d G F i b G V F b n R y a W V z I C 8 + P C 9 J d G V t P j x J d G V t P j x J d G V t T G 9 j Y X R p b 2 4 + P E l 0 Z W 1 U e X B l P k Z v c m 1 1 b G E 8 L 0 l 0 Z W 1 U e X B l P j x J d G V t U G F 0 a D 5 T Z W N 0 a W 9 u M S 9 C a W V s Z W 1 h b n R y Z W Z m Z W 4 v S G V 0 J T I w a 2 9 s b 2 1 0 e X B l J T I w a X M l M j B n Z X d p a n p p Z 2 Q 8 L 0 l 0 Z W 1 Q Y X R o P j w v S X R l b U x v Y 2 F 0 a W 9 u P j x T d G F i b G V F b n R y a W V z I C 8 + P C 9 J d G V t P j x J d G V t P j x J d G V t T G 9 j Y X R p b 2 4 + P E l 0 Z W 1 U e X B l P k Z v c m 1 1 b G E 8 L 0 l 0 Z W 1 U e X B l P j x J d G V t U G F 0 a D 5 T Z W N 0 a W 9 u M S 9 C a W V s Z W 1 h b n R y Z W Z m Z W 4 v Q W F u Z 2 V w Y X N 0 J T I w a X R l b S U y M H R v Z W d l d m 9 l Z 2 Q 8 L 0 l 0 Z W 1 Q Y X R o P j w v S X R l b U x v Y 2 F 0 a W 9 u P j x T d G F i b G V F b n R y a W V z I C 8 + P C 9 J d G V t P j x J d G V t P j x J d G V t T G 9 j Y X R p b 2 4 + P E l 0 Z W 1 U e X B l P k Z v c m 1 1 b G E 8 L 0 l 0 Z W 1 U e X B l P j x J d G V t U G F 0 a D 5 T Z W N 0 a W 9 u M S 9 C a W V s Z W 1 h b n R y Z W Z m Z W 4 v Q W F u Z 2 V w Y X N 0 J T I w a X R l b S U y M H R v Z W d l d m 9 l Z 2 Q x P C 9 J d G V t U G F 0 a D 4 8 L 0 l 0 Z W 1 M b 2 N h d G l v b j 4 8 U 3 R h Y m x l R W 5 0 c m l l c y A v P j w v S X R l b T 4 8 S X R l b T 4 8 S X R l b U x v Y 2 F 0 a W 9 u P j x J d G V t V H l w Z T 5 G b 3 J t d W x h P C 9 J d G V t V H l w Z T 4 8 S X R l b V B h d G g + U 2 V j d G l v b j E v Q m l l b G V t Y W 5 0 c m V m Z m V u L 0 F h b m d l c G F z d C U y M G l 0 Z W 0 l M j B 0 b 2 V n Z X Z v Z W d k M j w v S X R l b V B h d G g + P C 9 J d G V t T G 9 j Y X R p b 2 4 + P F N 0 Y W J s Z U V u d H J p Z X M g L z 4 8 L 0 l 0 Z W 0 + P E l 0 Z W 0 + P E l 0 Z W 1 M b 2 N h d G l v b j 4 8 S X R l b V R 5 c G U + R m 9 y b X V s Y T w v S X R l b V R 5 c G U + P E l 0 Z W 1 Q Y X R o P l N l Y 3 R p b 2 4 x L 0 J p Z W x l b W F u d H J l Z m Z l b i 9 B Y W 5 n Z X B h c 3 Q l M j B p d G V t J T I w d G 9 l Z 2 V 2 b 2 V n Z D M 8 L 0 l 0 Z W 1 Q Y X R o P j w v S X R l b U x v Y 2 F 0 a W 9 u P j x T d G F i b G V F b n R y a W V z I C 8 + P C 9 J d G V t P j x J d G V t P j x J d G V t T G 9 j Y X R p b 2 4 + P E l 0 Z W 1 U e X B l P k Z v c m 1 1 b G E 8 L 0 l 0 Z W 1 U e X B l P j x J d G V t U G F 0 a D 5 T Z W N 0 a W 9 u M S 9 C a W V s Z W 1 h b n R y Z W Z m Z W 4 v Q W F u Z 2 V w Y X N 0 J T I w a X R l b S U y M H R v Z W d l d m 9 l Z 2 Q 0 P C 9 J d G V t U G F 0 a D 4 8 L 0 l 0 Z W 1 M b 2 N h d G l v b j 4 8 U 3 R h Y m x l R W 5 0 c m l l c y A v P j w v S X R l b T 4 8 S X R l b T 4 8 S X R l b U x v Y 2 F 0 a W 9 u P j x J d G V t V H l w Z T 5 G b 3 J t d W x h P C 9 J d G V t V H l w Z T 4 8 S X R l b V B h d G g + U 2 V j d G l v b j E v Q m l l b G V t Y W 5 0 c m V m Z m V u L 0 F h b m d l c G F z d C U y M G l 0 Z W 0 l M j B 0 b 2 V n Z X Z v Z W d k N T w v S X R l b V B h d G g + P C 9 J d G V t T G 9 j Y X R p b 2 4 + P F N 0 Y W J s Z U V u d H J p Z X M g L z 4 8 L 0 l 0 Z W 0 + P E l 0 Z W 0 + P E l 0 Z W 1 M b 2 N h d G l v b j 4 8 S X R l b V R 5 c G U + R m 9 y b X V s Y T w v S X R l b V R 5 c G U + P E l 0 Z W 1 Q Y X R o P l N l Y 3 R p b 2 4 x L 0 J p Z W x l b W F u d H J l Z m Z l b i 9 B Y W 5 n Z X B h c 3 Q l M j B p d G V t J T I w d G 9 l Z 2 V 2 b 2 V n Z D Y 8 L 0 l 0 Z W 1 Q Y X R o P j w v S X R l b U x v Y 2 F 0 a W 9 u P j x T d G F i b G V F b n R y a W V z I C 8 + P C 9 J d G V t P j x J d G V t P j x J d G V t T G 9 j Y X R p b 2 4 + P E l 0 Z W 1 U e X B l P k Z v c m 1 1 b G E 8 L 0 l 0 Z W 1 U e X B l P j x J d G V t U G F 0 a D 5 T Z W N 0 a W 9 u M S 9 C a W V s Z W 1 h b n R y Z W Z m Z W 4 v Q W F u Z 2 V w Y X N 0 J T I w a X R l b S U y M H R v Z W d l d m 9 l Z 2 Q l M j A x P C 9 J d G V t U G F 0 a D 4 8 L 0 l 0 Z W 1 M b 2 N h d G l v b j 4 8 U 3 R h Y m x l R W 5 0 c m l l c y A v P j w v S X R l b T 4 8 S X R l b T 4 8 S X R l b U x v Y 2 F 0 a W 9 u P j x J d G V t V H l w Z T 5 G b 3 J t d W x h P C 9 J d G V t V H l w Z T 4 8 S X R l b V B h d G g + U 2 V j d G l v b j E v Q m l l b G V t Y W 5 0 c m V m Z m V u L 0 F h b m d l c G F z d C U y M G l 0 Z W 0 l M j B 0 b 2 V n Z X Z v Z W d k J T I w M j w v S X R l b V B h d G g + P C 9 J d G V t T G 9 j Y X R p b 2 4 + P F N 0 Y W J s Z U V u d H J p Z X M g L z 4 8 L 0 l 0 Z W 0 + P E l 0 Z W 0 + P E l 0 Z W 1 M b 2 N h d G l v b j 4 8 S X R l b V R 5 c G U + R m 9 y b X V s Y T w v S X R l b V R 5 c G U + P E l 0 Z W 1 Q Y X R o P l N l Y 3 R p b 2 4 x L 0 J p Z W x l b W F u d H J l Z m Z l b i 9 B Y W 5 n Z X B h c 3 Q l M j B p d G V t J T I w d G 9 l Z 2 V 2 b 2 V n Z C U y M D M 8 L 0 l 0 Z W 1 Q Y X R o P j w v S X R l b U x v Y 2 F 0 a W 9 u P j x T d G F i b G V F b n R y a W V z I C 8 + P C 9 J d G V t P j x J d G V t P j x J d G V t T G 9 j Y X R p b 2 4 + P E l 0 Z W 1 U e X B l P k Z v c m 1 1 b G E 8 L 0 l 0 Z W 1 U e X B l P j x J d G V t U G F 0 a D 5 T Z W N 0 a W 9 u M S 9 C a W V s Z W 1 h b n R y Z W Z m Z W 4 v Q W F u Z 2 V w Y X N 0 J T I w a X R l b S U y M H R v Z W d l d m 9 l Z 2 Q l M j A 0 P C 9 J d G V t U G F 0 a D 4 8 L 0 l 0 Z W 1 M b 2 N h d G l v b j 4 8 U 3 R h Y m x l R W 5 0 c m l l c y A v P j w v S X R l b T 4 8 S X R l b T 4 8 S X R l b U x v Y 2 F 0 a W 9 u P j x J d G V t V H l w Z T 5 G b 3 J t d W x h P C 9 J d G V t V H l w Z T 4 8 S X R l b V B h d G g + U 2 V j d G l v b j E v Q m l l b G V t Y W 5 0 c m V m Z m V u L 0 F h b m d l c G F z d C U y M G l 0 Z W 0 l M j B 0 b 2 V n Z X Z v Z W d k J T I w N T w v S X R l b V B h d G g + P C 9 J d G V t T G 9 j Y X R p b 2 4 + P F N 0 Y W J s Z U V u d H J p Z X M g L z 4 8 L 0 l 0 Z W 0 + P E l 0 Z W 0 + P E l 0 Z W 1 M b 2 N h d G l v b j 4 8 S X R l b V R 5 c G U + R m 9 y b X V s Y T w v S X R l b V R 5 c G U + P E l 0 Z W 1 Q Y X R o P l N l Y 3 R p b 2 4 x L 0 J p Z W x l b W F u d H J l Z m Z l b i 9 B Y W 5 n Z X B h c 3 Q l M j B p d G V t J T I w d G 9 l Z 2 V 2 b 2 V n Z C U y M D Y 8 L 0 l 0 Z W 1 Q Y X R o P j w v S X R l b U x v Y 2 F 0 a W 9 u P j x T d G F i b G V F b n R y a W V z I C 8 + P C 9 J d G V t P j x J d G V t P j x J d G V t T G 9 j Y X R p b 2 4 + P E l 0 Z W 1 U e X B l P k Z v c m 1 1 b G E 8 L 0 l 0 Z W 1 U e X B l P j x J d G V t U G F 0 a D 5 T Z W N 0 a W 9 u M S 9 C a W V s Z W 1 h b n R y Z W Z m Z W 4 v Q W F u Z 2 V w Y X N 0 J T I w a X R l b S U y M H R v Z W d l d m 9 l Z 2 Q l M j A 3 P C 9 J d G V t U G F 0 a D 4 8 L 0 l 0 Z W 1 M b 2 N h d G l v b j 4 8 U 3 R h Y m x l R W 5 0 c m l l c y A v P j w v S X R l b T 4 8 S X R l b T 4 8 S X R l b U x v Y 2 F 0 a W 9 u P j x J d G V t V H l w Z T 5 G b 3 J t d W x h P C 9 J d G V t V H l w Z T 4 8 S X R l b V B h d G g + U 2 V j d G l v b j E v Q m l l b G V t Y W 5 0 c m V m Z m V u L 0 F h b m d l c G F z d C U y M G l 0 Z W 0 l M j B 0 b 2 V n Z X Z v Z W d k J T I w O D w v S X R l b V B h d G g + P C 9 J d G V t T G 9 j Y X R p b 2 4 + P F N 0 Y W J s Z U V u d H J p Z X M g L z 4 8 L 0 l 0 Z W 0 + P E l 0 Z W 0 + P E l 0 Z W 1 M b 2 N h d G l v b j 4 8 S X R l b V R 5 c G U + R m 9 y b X V s Y T w v S X R l b V R 5 c G U + P E l 0 Z W 1 Q Y X R o P l N l Y 3 R p b 2 4 x L 0 J p Z W x l b W F u d H J l Z m Z l b i 9 B Y W 5 n Z X B h c 3 Q l M j B p d G V t J T I w d G 9 l Z 2 V 2 b 2 V n Z C U y M D k 8 L 0 l 0 Z W 1 Q Y X R o P j w v S X R l b U x v Y 2 F 0 a W 9 u P j x T d G F i b G V F b n R y a W V z I C 8 + P C 9 J d G V t P j x J d G V t P j x J d G V t T G 9 j Y X R p b 2 4 + P E l 0 Z W 1 U e X B l P k Z v c m 1 1 b G E 8 L 0 l 0 Z W 1 U e X B l P j x J d G V t U G F 0 a D 5 T Z W N 0 a W 9 u M S 9 C a W V s Z W 1 h b n R y Z W Z m Z W 4 v Q W F u Z 2 V w Y X N 0 J T I w a X R l b S U y M H R v Z W d l d m 9 l Z 2 Q l M j A x M D w v S X R l b V B h d G g + P C 9 J d G V t T G 9 j Y X R p b 2 4 + P F N 0 Y W J s Z U V u d H J p Z X M g L z 4 8 L 0 l 0 Z W 0 + P E l 0 Z W 0 + P E l 0 Z W 1 M b 2 N h d G l v b j 4 8 S X R l b V R 5 c G U + R m 9 y b X V s Y T w v S X R l b V R 5 c G U + P E l 0 Z W 1 Q Y X R o P l N l Y 3 R p b 2 4 x L 0 J p Z W x l b W F u d H J l Z m Z l b i 9 B Y W 5 n Z X B h c 3 Q l M j B p d G V t J T I w d G 9 l Z 2 V 2 b 2 V n Z C U y M D E x P C 9 J d G V t U G F 0 a D 4 8 L 0 l 0 Z W 1 M b 2 N h d G l v b j 4 8 U 3 R h Y m x l R W 5 0 c m l l c y A v P j w v S X R l b T 4 8 S X R l b T 4 8 S X R l b U x v Y 2 F 0 a W 9 u P j x J d G V t V H l w Z T 5 G b 3 J t d W x h P C 9 J d G V t V H l w Z T 4 8 S X R l b V B h d G g + U 2 V j d G l v b j E v Q m l l b G V t Y W 5 0 c m V m Z m V u L 0 F h b m d l c G F z d C U y M G l 0 Z W 0 l M j B 0 b 2 V n Z X Z v Z W d k J T I w M T I 8 L 0 l 0 Z W 1 Q Y X R o P j w v S X R l b U x v Y 2 F 0 a W 9 u P j x T d G F i b G V F b n R y a W V z I C 8 + P C 9 J d G V t P j x J d G V t P j x J d G V t T G 9 j Y X R p b 2 4 + P E l 0 Z W 1 U e X B l P k Z v c m 1 1 b G E 8 L 0 l 0 Z W 1 U e X B l P j x J d G V t U G F 0 a D 5 T Z W N 0 a W 9 u M S 9 C a W V s Z W 1 h b n R y Z W Z m Z W 4 v Q W F u Z 2 V w Y X N 0 J T I w a X R l b S U y M H R v Z W d l d m 9 l Z 2 Q l M j A x M z w v S X R l b V B h d G g + P C 9 J d G V t T G 9 j Y X R p b 2 4 + P F N 0 Y W J s Z U V u d H J p Z X M g L z 4 8 L 0 l 0 Z W 0 + P E l 0 Z W 0 + P E l 0 Z W 1 M b 2 N h d G l v b j 4 8 S X R l b V R 5 c G U + R m 9 y b X V s Y T w v S X R l b V R 5 c G U + P E l 0 Z W 1 Q Y X R o P l N l Y 3 R p b 2 4 x L 0 J p Z W x l b W F u d H J l Z m Z l b i 9 B Y W 5 n Z X B h c 3 Q l M j B p d G V t J T I w d G 9 l Z 2 V 2 b 2 V n Z C U y M D E 0 P C 9 J d G V t U G F 0 a D 4 8 L 0 l 0 Z W 1 M b 2 N h d G l v b j 4 8 U 3 R h Y m x l R W 5 0 c m l l c y A v P j w v S X R l b T 4 8 S X R l b T 4 8 S X R l b U x v Y 2 F 0 a W 9 u P j x J d G V t V H l w Z T 5 G b 3 J t d W x h P C 9 J d G V t V H l w Z T 4 8 S X R l b V B h d G g + U 2 V j d G l v b j E v Q m l l b G V t Y W 5 0 c m V m Z m V u L 0 F h b m d l c G F z d C U y M G l 0 Z W 0 l M j B 0 b 2 V n Z X Z v Z W d k J T I w M T U 8 L 0 l 0 Z W 1 Q Y X R o P j w v S X R l b U x v Y 2 F 0 a W 9 u P j x T d G F i b G V F b n R y a W V z I C 8 + P C 9 J d G V t P j x J d G V t P j x J d G V t T G 9 j Y X R p b 2 4 + P E l 0 Z W 1 U e X B l P k Z v c m 1 1 b G E 8 L 0 l 0 Z W 1 U e X B l P j x J d G V t U G F 0 a D 5 T Z W N 0 a W 9 u M S 9 C a W V s Z W 1 h b n R y Z W Z m Z W 4 v Q W F u Z 2 V w Y X N 0 J T I w a X R l b S U y M H R v Z W d l d m 9 l Z 2 Q l M j A x N j w v S X R l b V B h d G g + P C 9 J d G V t T G 9 j Y X R p b 2 4 + P F N 0 Y W J s Z U V u d H J p Z X M g L z 4 8 L 0 l 0 Z W 0 + P E l 0 Z W 0 + P E l 0 Z W 1 M b 2 N h d G l v b j 4 8 S X R l b V R 5 c G U + R m 9 y b X V s Y T w v S X R l b V R 5 c G U + P E l 0 Z W 1 Q Y X R o P l N l Y 3 R p b 2 4 x L 0 J p Z W x l b W F u d H J l Z m Z l b i 9 B Y W 5 n Z X B h c 3 Q l M j B p d G V t J T I w d G 9 l Z 2 V 2 b 2 V n Z C U y M D E 3 P C 9 J d G V t U G F 0 a D 4 8 L 0 l 0 Z W 1 M b 2 N h d G l v b j 4 8 U 3 R h Y m x l R W 5 0 c m l l c y A v P j w v S X R l b T 4 8 S X R l b T 4 8 S X R l b U x v Y 2 F 0 a W 9 u P j x J d G V t V H l w Z T 5 G b 3 J t d W x h P C 9 J d G V t V H l w Z T 4 8 S X R l b V B h d G g + U 2 V j d G l v b j E v Q m l l b G V t Y W 5 0 c m V m Z m V u L 0 F h b m d l c G F z d C U y M G l 0 Z W 0 l M j B 0 b 2 V n Z X Z v Z W d k J T I w M T g 8 L 0 l 0 Z W 1 Q Y X R o P j w v S X R l b U x v Y 2 F 0 a W 9 u P j x T d G F i b G V F b n R y a W V z I C 8 + P C 9 J d G V t P j x J d G V t P j x J d G V t T G 9 j Y X R p b 2 4 + P E l 0 Z W 1 U e X B l P k Z v c m 1 1 b G E 8 L 0 l 0 Z W 1 U e X B l P j x J d G V t U G F 0 a D 5 T Z W N 0 a W 9 u M S 9 C a W V s Z W 1 h b n R y Z W Z m Z W 4 v Q W F u Z 2 V w Y X N 0 J T I w a X R l b S U y M H R v Z W d l d m 9 l Z 2 Q l M j A x O T w v S X R l b V B h d G g + P C 9 J d G V t T G 9 j Y X R p b 2 4 + P F N 0 Y W J s Z U V u d H J p Z X M g L z 4 8 L 0 l 0 Z W 0 + P E l 0 Z W 0 + P E l 0 Z W 1 M b 2 N h d G l v b j 4 8 S X R l b V R 5 c G U + R m 9 y b X V s Y T w v S X R l b V R 5 c G U + P E l 0 Z W 1 Q Y X R o P l N l Y 3 R p b 2 4 x L 0 J p Z W x l b W F u d H J l Z m Z l b i 9 B Y W 5 n Z X B h c 3 Q l M j B p d G V t J T I w d G 9 l Z 2 V 2 b 2 V n Z C U y M D I w P C 9 J d G V t U G F 0 a D 4 8 L 0 l 0 Z W 1 M b 2 N h d G l v b j 4 8 U 3 R h Y m x l R W 5 0 c m l l c y A v P j w v S X R l b T 4 8 S X R l b T 4 8 S X R l b U x v Y 2 F 0 a W 9 u P j x J d G V t V H l w Z T 5 G b 3 J t d W x h P C 9 J d G V t V H l w Z T 4 8 S X R l b V B h d G g + U 2 V j d G l v b j E v Q m l l b G V t Y W 5 0 c m V m Z m V u L 0 F h b m d l c G F z d C U y M G l 0 Z W 0 l M j B 0 b 2 V n Z X Z v Z W d k J T I w M j E 8 L 0 l 0 Z W 1 Q Y X R o P j w v S X R l b U x v Y 2 F 0 a W 9 u P j x T d G F i b G V F b n R y a W V z I C 8 + P C 9 J d G V t P j x J d G V t P j x J d G V t T G 9 j Y X R p b 2 4 + P E l 0 Z W 1 U e X B l P k Z v c m 1 1 b G E 8 L 0 l 0 Z W 1 U e X B l P j x J d G V t U G F 0 a D 5 T Z W N 0 a W 9 u M S 9 C a W V s Z W 1 h b n R y Z W Z m Z W 4 v Q W F u Z 2 V w Y X N 0 J T I w a X R l b S U y M H R v Z W d l d m 9 l Z 2 Q l M j A y M j w v S X R l b V B h d G g + P C 9 J d G V t T G 9 j Y X R p b 2 4 + P F N 0 Y W J s Z U V u d H J p Z X M g L z 4 8 L 0 l 0 Z W 0 + P E l 0 Z W 0 + P E l 0 Z W 1 M b 2 N h d G l v b j 4 8 S X R l b V R 5 c G U + R m 9 y b X V s Y T w v S X R l b V R 5 c G U + P E l 0 Z W 1 Q Y X R o P l N l Y 3 R p b 2 4 x L 0 J p Z W x l b W F u d H J l Z m Z l b i 9 B Y W 5 n Z X B h c 3 Q l M j B p d G V t J T I w d G 9 l Z 2 V 2 b 2 V n Z C U y M D I z P C 9 J d G V t U G F 0 a D 4 8 L 0 l 0 Z W 1 M b 2 N h d G l v b j 4 8 U 3 R h Y m x l R W 5 0 c m l l c y A v P j w v S X R l b T 4 8 S X R l b T 4 8 S X R l b U x v Y 2 F 0 a W 9 u P j x J d G V t V H l w Z T 5 G b 3 J t d W x h P C 9 J d G V t V H l w Z T 4 8 S X R l b V B h d G g + U 2 V j d G l v b j E v Q m l l b G V t Y W 5 0 c m V m Z m V u L 1 Z v b 3 J 3 Y W F y Z G V s a W p r Z S U y M G t v b G 9 t J T I w a W 5 n Z X Z v Z W d k P C 9 J d G V t U G F 0 a D 4 8 L 0 l 0 Z W 1 M b 2 N h d G l v b j 4 8 U 3 R h Y m x l R W 5 0 c m l l c y A v P j w v S X R l b T 4 8 S X R l b T 4 8 S X R l b U x v Y 2 F 0 a W 9 u P j x J d G V t V H l w Z T 5 G b 3 J t d W x h P C 9 J d G V t V H l w Z T 4 8 S X R l b V B h d G g + U 2 V j d G l v b j E v Q m l l b G V t Y W 5 0 c m V m Z m V u L 1 Z v b 3 J 3 Y W F y Z G V s a W p r Z S U y M G t v b G 9 t J T I w a W 5 n Z X Z v Z W d k M T w v S X R l b V B h d G g + P C 9 J d G V t T G 9 j Y X R p b 2 4 + P F N 0 Y W J s Z U V u d H J p Z X M g L z 4 8 L 0 l 0 Z W 0 + P E l 0 Z W 0 + P E l 0 Z W 1 M b 2 N h d G l v b j 4 8 S X R l b V R 5 c G U + R m 9 y b X V s Y T w v S X R l b V R 5 c G U + P E l 0 Z W 1 Q Y X R o P l N l Y 3 R p b 2 4 x L 0 J p Z W x l b W F u d H J l Z m Z l b i 9 W b 2 9 y d 2 F h c m R l b G l q a 2 U l M j B r b 2 x v b S U y M G l u Z 2 V 2 b 2 V n Z D I 8 L 0 l 0 Z W 1 Q Y X R o P j w v S X R l b U x v Y 2 F 0 a W 9 u P j x T d G F i b G V F b n R y a W V z I C 8 + P C 9 J d G V t P j x J d G V t P j x J d G V t T G 9 j Y X R p b 2 4 + P E l 0 Z W 1 U e X B l P k Z v c m 1 1 b G E 8 L 0 l 0 Z W 1 U e X B l P j x J d G V t U G F 0 a D 5 T Z W N 0 a W 9 u M S 9 C a W V s Z W 1 h b n R y Z W Z m Z W 4 v V m 9 v c n d h Y X J k Z W x p a m t l J T I w a 2 9 s b 2 0 l M j B p b m d l d m 9 l Z 2 Q z P C 9 J d G V t U G F 0 a D 4 8 L 0 l 0 Z W 1 M b 2 N h d G l v b j 4 8 U 3 R h Y m x l R W 5 0 c m l l c y A v P j w v S X R l b T 4 8 S X R l b T 4 8 S X R l b U x v Y 2 F 0 a W 9 u P j x J d G V t V H l w Z T 5 G b 3 J t d W x h P C 9 J d G V t V H l w Z T 4 8 S X R l b V B h d G g + U 2 V j d G l v b j E v Q m l l b G V t Y W 5 0 c m V m Z m V u L 1 Z v b 3 J 3 Y W F y Z G V s a W p r Z S U y M G t v b G 9 t J T I w a W 5 n Z X Z v Z W d k N D w v S X R l b V B h d G g + P C 9 J d G V t T G 9 j Y X R p b 2 4 + P F N 0 Y W J s Z U V u d H J p Z X M g L z 4 8 L 0 l 0 Z W 0 + P E l 0 Z W 0 + P E l 0 Z W 1 M b 2 N h d G l v b j 4 8 S X R l b V R 5 c G U + R m 9 y b X V s Y T w v S X R l b V R 5 c G U + P E l 0 Z W 1 Q Y X R o P l N l Y 3 R p b 2 4 x L 0 J p Z W x l b W F u d H J l Z m Z l b i 9 W b 2 9 y d 2 F h c m R l b G l q a 2 U l M j B r b 2 x v b S U y M G l u Z 2 V 2 b 2 V n Z D U 8 L 0 l 0 Z W 1 Q Y X R o P j w v S X R l b U x v Y 2 F 0 a W 9 u P j x T d G F i b G V F b n R y a W V z I C 8 + P C 9 J d G V t P j x J d G V t P j x J d G V t T G 9 j Y X R p b 2 4 + P E l 0 Z W 1 U e X B l P k Z v c m 1 1 b G E 8 L 0 l 0 Z W 1 U e X B l P j x J d G V t U G F 0 a D 5 T Z W N 0 a W 9 u M S 9 C a W V s Z W 1 h b n R y Z W Z m Z W 4 v V m 9 v c n d h Y X J k Z W x p a m t l J T I w a 2 9 s b 2 0 l M j B p b m d l d m 9 l Z 2 Q 2 P C 9 J d G V t U G F 0 a D 4 8 L 0 l 0 Z W 1 M b 2 N h d G l v b j 4 8 U 3 R h Y m x l R W 5 0 c m l l c y A v P j w v S X R l b T 4 8 S X R l b T 4 8 S X R l b U x v Y 2 F 0 a W 9 u P j x J d G V t V H l w Z T 5 G b 3 J t d W x h P C 9 J d G V t V H l w Z T 4 8 S X R l b V B h d G g + U 2 V j d G l v b j E v Q m l l b G V t Y W 5 0 c m V m Z m V u L 1 Z v b 3 J 3 Y W F y Z G V s a W p r Z S U y M G t v b G 9 t J T I w a W 5 n Z X Z v Z W d k N z w v S X R l b V B h d G g + P C 9 J d G V t T G 9 j Y X R p b 2 4 + P F N 0 Y W J s Z U V u d H J p Z X M g L z 4 8 L 0 l 0 Z W 0 + P E l 0 Z W 0 + P E l 0 Z W 1 M b 2 N h d G l v b j 4 8 S X R l b V R 5 c G U + R m 9 y b X V s Y T w v S X R l b V R 5 c G U + P E l 0 Z W 1 Q Y X R o P l N l Y 3 R p b 2 4 x L 0 J p Z W x l b W F u d H J l Z m Z l b i 9 W b 2 9 y d 2 F h c m R l b G l q a 2 U l M j B r b 2 x v b S U y M G l u Z 2 V 2 b 2 V n Z D g 8 L 0 l 0 Z W 1 Q Y X R o P j w v S X R l b U x v Y 2 F 0 a W 9 u P j x T d G F i b G V F b n R y a W V z I C 8 + P C 9 J d G V t P j x J d G V t P j x J d G V t T G 9 j Y X R p b 2 4 + P E l 0 Z W 1 U e X B l P k Z v c m 1 1 b G E 8 L 0 l 0 Z W 1 U e X B l P j x J d G V t U G F 0 a D 5 T Z W N 0 a W 9 u M S 9 C a W V s Z W 1 h b n R y Z W Z m Z W 4 v V m 9 v c n d h Y X J k Z W x p a m t l J T I w a 2 9 s b 2 0 l M j B p b m d l d m 9 l Z 2 Q 5 P C 9 J d G V t U G F 0 a D 4 8 L 0 l 0 Z W 1 M b 2 N h d G l v b j 4 8 U 3 R h Y m x l R W 5 0 c m l l c y A v P j w v S X R l b T 4 8 S X R l b T 4 8 S X R l b U x v Y 2 F 0 a W 9 u P j x J d G V t V H l w Z T 5 G b 3 J t d W x h P C 9 J d G V t V H l w Z T 4 8 S X R l b V B h d G g + U 2 V j d G l v b j E v Q m l l b G V t Y W 5 0 c m V m Z m V u L 1 Z v b 3 J 3 Y W F y Z G V s a W p r Z S U y M G t v b G 9 t J T I w a W 5 n Z X Z v Z W d k M T A 8 L 0 l 0 Z W 1 Q Y X R o P j w v S X R l b U x v Y 2 F 0 a W 9 u P j x T d G F i b G V F b n R y a W V z I C 8 + P C 9 J d G V t P j x J d G V t P j x J d G V t T G 9 j Y X R p b 2 4 + P E l 0 Z W 1 U e X B l P k Z v c m 1 1 b G E 8 L 0 l 0 Z W 1 U e X B l P j x J d G V t U G F 0 a D 5 T Z W N 0 a W 9 u M S 9 C a W V s Z W 1 h b n R y Z W Z m Z W 4 v V m 9 v c n d h Y X J k Z W x p a m t l J T I w a 2 9 s b 2 0 l M j B p b m d l d m 9 l Z 2 Q x M T w v S X R l b V B h d G g + P C 9 J d G V t T G 9 j Y X R p b 2 4 + P F N 0 Y W J s Z U V u d H J p Z X M g L z 4 8 L 0 l 0 Z W 0 + P E l 0 Z W 0 + P E l 0 Z W 1 M b 2 N h d G l v b j 4 8 S X R l b V R 5 c G U + R m 9 y b X V s Y T w v S X R l b V R 5 c G U + P E l 0 Z W 1 Q Y X R o P l N l Y 3 R p b 2 4 x L 0 J p Z W x l b W F u d H J l Z m Z l b i 9 W b 2 9 y d 2 F h c m R l b G l q a 2 U l M j B r b 2 x v b S U y M G l u Z 2 V 2 b 2 V n Z D E y P C 9 J d G V t U G F 0 a D 4 8 L 0 l 0 Z W 1 M b 2 N h d G l v b j 4 8 U 3 R h Y m x l R W 5 0 c m l l c y A v P j w v S X R l b T 4 8 S X R l b T 4 8 S X R l b U x v Y 2 F 0 a W 9 u P j x J d G V t V H l w Z T 5 G b 3 J t d W x h P C 9 J d G V t V H l w Z T 4 8 S X R l b V B h d G g + U 2 V j d G l v b j E v Q m l l b G V t Y W 5 0 c m V m Z m V u L 1 Z v b 3 J 3 Y W F y Z G V s a W p r Z S U y M G t v b G 9 t J T I w a W 5 n Z X Z v Z W d k M T M 8 L 0 l 0 Z W 1 Q Y X R o P j w v S X R l b U x v Y 2 F 0 a W 9 u P j x T d G F i b G V F b n R y a W V z I C 8 + P C 9 J d G V t P j x J d G V t P j x J d G V t T G 9 j Y X R p b 2 4 + P E l 0 Z W 1 U e X B l P k Z v c m 1 1 b G E 8 L 0 l 0 Z W 1 U e X B l P j x J d G V t U G F 0 a D 5 T Z W N 0 a W 9 u M S 9 C a W V s Z W 1 h b n R y Z W Z m Z W 4 v V m 9 v c n d h Y X J k Z W x p a m t l J T I w a 2 9 s b 2 0 l M j B p b m d l d m 9 l Z 2 Q x N D w v S X R l b V B h d G g + P C 9 J d G V t T G 9 j Y X R p b 2 4 + P F N 0 Y W J s Z U V u d H J p Z X M g L z 4 8 L 0 l 0 Z W 0 + P E l 0 Z W 0 + P E l 0 Z W 1 M b 2 N h d G l v b j 4 8 S X R l b V R 5 c G U + R m 9 y b X V s Y T w v S X R l b V R 5 c G U + P E l 0 Z W 1 Q Y X R o P l N l Y 3 R p b 2 4 x L 0 J p Z W x l b W F u d H J l Z m Z l b i 9 W b 2 9 y d 2 F h c m R l b G l q a 2 U l M j B r b 2 x v b S U y M G l u Z 2 V 2 b 2 V n Z D E 1 P C 9 J d G V t U G F 0 a D 4 8 L 0 l 0 Z W 1 M b 2 N h d G l v b j 4 8 U 3 R h Y m x l R W 5 0 c m l l c y A v P j w v S X R l b T 4 8 S X R l b T 4 8 S X R l b U x v Y 2 F 0 a W 9 u P j x J d G V t V H l w Z T 5 G b 3 J t d W x h P C 9 J d G V t V H l w Z T 4 8 S X R l b V B h d G g + U 2 V j d G l v b j E v Q m l l b G V t Y W 5 0 c m V m Z m V u L 1 Z v b 3 J 3 Y W F y Z G V s a W p r Z S U y M G t v b G 9 t J T I w a W 5 n Z X Z v Z W d k M T Y 8 L 0 l 0 Z W 1 Q Y X R o P j w v S X R l b U x v Y 2 F 0 a W 9 u P j x T d G F i b G V F b n R y a W V z I C 8 + P C 9 J d G V t P j x J d G V t P j x J d G V t T G 9 j Y X R p b 2 4 + P E l 0 Z W 1 U e X B l P k Z v c m 1 1 b G E 8 L 0 l 0 Z W 1 U e X B l P j x J d G V t U G F 0 a D 5 T Z W N 0 a W 9 u M S 9 C a W V s Z W 1 h b n R y Z W Z m Z W 4 v V m 9 v c n d h Y X J k Z W x p a m t l J T I w a 2 9 s b 2 0 l M j B p b m d l d m 9 l Z 2 Q x N z w v S X R l b V B h d G g + P C 9 J d G V t T G 9 j Y X R p b 2 4 + P F N 0 Y W J s Z U V u d H J p Z X M g L z 4 8 L 0 l 0 Z W 0 + P E l 0 Z W 0 + P E l 0 Z W 1 M b 2 N h d G l v b j 4 8 S X R l b V R 5 c G U + R m 9 y b X V s Y T w v S X R l b V R 5 c G U + P E l 0 Z W 1 Q Y X R o P l N l Y 3 R p b 2 4 x L 0 J p Z W x l b W F u d H J l Z m Z l b i 9 W b 2 9 y d 2 F h c m R l b G l q a 2 U l M j B r b 2 x v b S U y M G l u Z 2 V 2 b 2 V n Z D E 4 P C 9 J d G V t U G F 0 a D 4 8 L 0 l 0 Z W 1 M b 2 N h d G l v b j 4 8 U 3 R h Y m x l R W 5 0 c m l l c y A v P j w v S X R l b T 4 8 S X R l b T 4 8 S X R l b U x v Y 2 F 0 a W 9 u P j x J d G V t V H l w Z T 5 G b 3 J t d W x h P C 9 J d G V t V H l w Z T 4 8 S X R l b V B h d G g + U 2 V j d G l v b j E v Q m l l b G V t Y W 5 0 c m V m Z m V u L 1 Z v b 3 J 3 Y W F y Z G V s a W p r Z S U y M G t v b G 9 t J T I w a W 5 n Z X Z v Z W d k M T k 8 L 0 l 0 Z W 1 Q Y X R o P j w v S X R l b U x v Y 2 F 0 a W 9 u P j x T d G F i b G V F b n R y a W V z I C 8 + P C 9 J d G V t P j x J d G V t P j x J d G V t T G 9 j Y X R p b 2 4 + P E l 0 Z W 1 U e X B l P k Z v c m 1 1 b G E 8 L 0 l 0 Z W 1 U e X B l P j x J d G V t U G F 0 a D 5 T Z W N 0 a W 9 u M S 9 C a W V s Z W 1 h b n R y Z W Z m Z W 4 v V m 9 v c n d h Y X J k Z W x p a m t l J T I w a 2 9 s b 2 0 l M j B p b m d l d m 9 l Z 2 Q y M D w v S X R l b V B h d G g + P C 9 J d G V t T G 9 j Y X R p b 2 4 + P F N 0 Y W J s Z U V u d H J p Z X M g L z 4 8 L 0 l 0 Z W 0 + P E l 0 Z W 0 + P E l 0 Z W 1 M b 2 N h d G l v b j 4 8 S X R l b V R 5 c G U + R m 9 y b X V s Y T w v S X R l b V R 5 c G U + P E l 0 Z W 1 Q Y X R o P l N l Y 3 R p b 2 4 x L 0 J p Z W x l b W F u d H J l Z m Z l b i 9 W b 2 9 y d 2 F h c m R l b G l q a 2 U l M j B r b 2 x v b S U y M G l u Z 2 V 2 b 2 V n Z D I x P C 9 J d G V t U G F 0 a D 4 8 L 0 l 0 Z W 1 M b 2 N h d G l v b j 4 8 U 3 R h Y m x l R W 5 0 c m l l c y A v P j w v S X R l b T 4 8 S X R l b T 4 8 S X R l b U x v Y 2 F 0 a W 9 u P j x J d G V t V H l w Z T 5 G b 3 J t d W x h P C 9 J d G V t V H l w Z T 4 8 S X R l b V B h d G g + U 2 V j d G l v b j E v Q m l l b G V t Y W 5 0 c m V m Z m V u L 1 Z v b 3 J 3 Y W F y Z G V s a W p r Z S U y M G t v b G 9 t J T I w a W 5 n Z X Z v Z W d k M j I 8 L 0 l 0 Z W 1 Q Y X R o P j w v S X R l b U x v Y 2 F 0 a W 9 u P j x T d G F i b G V F b n R y a W V z I C 8 + P C 9 J d G V t P j x J d G V t P j x J d G V t T G 9 j Y X R p b 2 4 + P E l 0 Z W 1 U e X B l P k Z v c m 1 1 b G E 8 L 0 l 0 Z W 1 U e X B l P j x J d G V t U G F 0 a D 5 T Z W N 0 a W 9 u M S 9 C a W V s Z W 1 h b n R y Z W Z m Z W 4 v V m 9 v c n d h Y X J k Z W x p a m t l J T I w a 2 9 s b 2 0 l M j B p b m d l d m 9 l Z 2 Q y M z w v S X R l b V B h d G g + P C 9 J d G V t T G 9 j Y X R p b 2 4 + P F N 0 Y W J s Z U V u d H J p Z X M g L z 4 8 L 0 l 0 Z W 0 + P E l 0 Z W 0 + P E l 0 Z W 1 M b 2 N h d G l v b j 4 8 S X R l b V R 5 c G U + R m 9 y b X V s Y T w v S X R l b V R 5 c G U + P E l 0 Z W 1 Q Y X R o P l N l Y 3 R p b 2 4 x L 0 J p Z W x l b W F u d H J l Z m Z l b i 9 W b 2 9 y d 2 F h c m R l b G l q a 2 U l M j B r b 2 x v b S U y M G l u Z 2 V 2 b 2 V n Z D I 0 P C 9 J d G V t U G F 0 a D 4 8 L 0 l 0 Z W 1 M b 2 N h d G l v b j 4 8 U 3 R h Y m x l R W 5 0 c m l l c y A v P j w v S X R l b T 4 8 S X R l b T 4 8 S X R l b U x v Y 2 F 0 a W 9 u P j x J d G V t V H l w Z T 5 G b 3 J t d W x h P C 9 J d G V t V H l w Z T 4 8 S X R l b V B h d G g + U 2 V j d G l v b j E v Q m l l b G V t Y W 5 0 c m V m Z m V u L 1 Z v b 3 J 3 Y W F y Z G V s a W p r Z S U y M G t v b G 9 t J T I w a W 5 n Z X Z v Z W d k M j U 8 L 0 l 0 Z W 1 Q Y X R o P j w v S X R l b U x v Y 2 F 0 a W 9 u P j x T d G F i b G V F b n R y a W V z I C 8 + P C 9 J d G V t P j x J d G V t P j x J d G V t T G 9 j Y X R p b 2 4 + P E l 0 Z W 1 U e X B l P k Z v c m 1 1 b G E 8 L 0 l 0 Z W 1 U e X B l P j x J d G V t U G F 0 a D 5 T Z W N 0 a W 9 u M S 9 C a W V s Z W 1 h b n R y Z W Z m Z W 4 v V m 9 v c n d h Y X J k Z W x p a m t l J T I w a 2 9 s b 2 0 l M j B p b m d l d m 9 l Z 2 Q y N j w v S X R l b V B h d G g + P C 9 J d G V t T G 9 j Y X R p b 2 4 + P F N 0 Y W J s Z U V u d H J p Z X M g L z 4 8 L 0 l 0 Z W 0 + P E l 0 Z W 0 + P E l 0 Z W 1 M b 2 N h d G l v b j 4 8 S X R l b V R 5 c G U + R m 9 y b X V s Y T w v S X R l b V R 5 c G U + P E l 0 Z W 1 Q Y X R o P l N l Y 3 R p b 2 4 x L 0 J p Z W x l b W F u d H J l Z m Z l b i 9 W b 2 9 y d 2 F h c m R l b G l q a 2 U l M j B r b 2 x v b S U y M G l u Z 2 V 2 b 2 V n Z D I 3 P C 9 J d G V t U G F 0 a D 4 8 L 0 l 0 Z W 1 M b 2 N h d G l v b j 4 8 U 3 R h Y m x l R W 5 0 c m l l c y A v P j w v S X R l b T 4 8 S X R l b T 4 8 S X R l b U x v Y 2 F 0 a W 9 u P j x J d G V t V H l w Z T 5 G b 3 J t d W x h P C 9 J d G V t V H l w Z T 4 8 S X R l b V B h d G g + U 2 V j d G l v b j E v Q m l l b G V t Y W 5 0 c m V m Z m V u L 1 Z v b 3 J 3 Y W F y Z G V s a W p r Z S U y M G t v b G 9 t J T I w a W 5 n Z X Z v Z W d k M j g 8 L 0 l 0 Z W 1 Q Y X R o P j w v S X R l b U x v Y 2 F 0 a W 9 u P j x T d G F i b G V F b n R y a W V z I C 8 + P C 9 J d G V t P j x J d G V t P j x J d G V t T G 9 j Y X R p b 2 4 + P E l 0 Z W 1 U e X B l P k Z v c m 1 1 b G E 8 L 0 l 0 Z W 1 U e X B l P j x J d G V t U G F 0 a D 5 T Z W N 0 a W 9 u M S 9 C a W V s Z W 1 h b n R y Z W Z m Z W 4 v V m 9 v c n d h Y X J k Z W x p a m t l J T I w a 2 9 s b 2 0 l M j B p b m d l d m 9 l Z 2 Q y O T w v S X R l b V B h d G g + P C 9 J d G V t T G 9 j Y X R p b 2 4 + P F N 0 Y W J s Z U V u d H J p Z X M g L z 4 8 L 0 l 0 Z W 0 + P E l 0 Z W 0 + P E l 0 Z W 1 M b 2 N h d G l v b j 4 8 S X R l b V R 5 c G U + R m 9 y b X V s Y T w v S X R l b V R 5 c G U + P E l 0 Z W 1 Q Y X R o P l N l Y 3 R p b 2 4 x L 0 J p Z W x l b W F u d H J l Z m Z l b i 9 B Y W 5 n Z X B h c 3 Q l M j B p d G V t J T I w d G 9 l Z 2 V 2 b 2 V n Z C U y M D I 0 P C 9 J d G V t U G F 0 a D 4 8 L 0 l 0 Z W 1 M b 2 N h d G l v b j 4 8 U 3 R h Y m x l R W 5 0 c m l l c y A v P j w v S X R l b T 4 8 S X R l b T 4 8 S X R l b U x v Y 2 F 0 a W 9 u P j x J d G V t V H l w Z T 5 G b 3 J t d W x h P C 9 J d G V t V H l w Z T 4 8 S X R l b V B h d G g + U 2 V j d G l v b j E v Q m l l b G V t Y W 5 0 c m V m Z m V u L 0 F h b m d l c G F z d C U y M G l 0 Z W 0 l M j B 0 b 2 V n Z X Z v Z W d k J T I w M j U 8 L 0 l 0 Z W 1 Q Y X R o P j w v S X R l b U x v Y 2 F 0 a W 9 u P j x T d G F i b G V F b n R y a W V z I C 8 + P C 9 J d G V t P j x J d G V t P j x J d G V t T G 9 j Y X R p b 2 4 + P E l 0 Z W 1 U e X B l P k Z v c m 1 1 b G E 8 L 0 l 0 Z W 1 U e X B l P j x J d G V t U G F 0 a D 5 T Z W N 0 a W 9 u M S 9 C a W V s Z W 1 h b n R y Z W Z m Z W 4 v Q W F u Z 2 V w Y X N 0 J T I w a X R l b S U y M H R v Z W d l d m 9 l Z 2 Q l M j A y N j w v S X R l b V B h d G g + P C 9 J d G V t T G 9 j Y X R p b 2 4 + P F N 0 Y W J s Z U V u d H J p Z X M g L z 4 8 L 0 l 0 Z W 0 + P E l 0 Z W 0 + P E l 0 Z W 1 M b 2 N h d G l v b j 4 8 S X R l b V R 5 c G U + R m 9 y b X V s Y T w v S X R l b V R 5 c G U + P E l 0 Z W 1 Q Y X R o P l N l Y 3 R p b 2 4 x L 0 J p Z W x l b W F u d H J l Z m Z l b i 9 B Y W 5 n Z X B h c 3 Q l M j B p d G V t J T I w d G 9 l Z 2 V 2 b 2 V n Z C U y M D I 3 P C 9 J d G V t U G F 0 a D 4 8 L 0 l 0 Z W 1 M b 2 N h d G l v b j 4 8 U 3 R h Y m x l R W 5 0 c m l l c y A v P j w v S X R l b T 4 8 S X R l b T 4 8 S X R l b U x v Y 2 F 0 a W 9 u P j x J d G V t V H l w Z T 5 G b 3 J t d W x h P C 9 J d G V t V H l w Z T 4 8 S X R l b V B h d G g + U 2 V j d G l v b j E v Q m l l b G V t Y W 5 0 c m V m Z m V u L 0 t v b G 9 t b W V u J T I w d m V y d 2 l q Z G V y Z D w v S X R l b V B h d G g + P C 9 J d G V t T G 9 j Y X R p b 2 4 + P F N 0 Y W J s Z U V u d H J p Z X M g L z 4 8 L 0 l 0 Z W 0 + P E l 0 Z W 0 + P E l 0 Z W 1 M b 2 N h d G l v b j 4 8 S X R l b V R 5 c G U + R m 9 y b X V s Y T w v S X R l b V R 5 c G U + P E l 0 Z W 1 Q Y X R o P l N l Y 3 R p b 2 4 x L 0 J p Z W x l b W F u d H J l Z m Z l b i 9 W b 2 x n b 3 J k Z S U y M H Z h b i U y M G t v b G 9 t b W V u J T I w Z 2 V 3 a W p 6 a W d k P C 9 J d G V t U G F 0 a D 4 8 L 0 l 0 Z W 1 M b 2 N h d G l v b j 4 8 U 3 R h Y m x l R W 5 0 c m l l c y A v P j w v S X R l b T 4 8 S X R l b T 4 8 S X R l b U x v Y 2 F 0 a W 9 u P j x J d G V t V H l w Z T 5 G b 3 J t d W x h P C 9 J d G V t V H l w Z T 4 8 S X R l b V B h d G g + U 2 V j d G l v b j E v S 0 R N 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O G Z m M W J l N z c t M D Y z N y 0 0 N T F i L W I z Y j g t N D R l Z D M 2 Y 2 F l M T A 4 I i A v P j x F b n R y e S B U e X B l P S J G a W x s V G F y Z 2 V 0 I i B W Y W x 1 Z T 0 i c 0 t E T S I g L z 4 8 R W 5 0 c n k g V H l w Z T 0 i R m l s b G V k Q 2 9 t c G x l d G V S Z X N 1 b H R U b 1 d v c m t z a G V l d C I g V m F s d W U 9 I m w x I i A v P j x F b n R y e S B U e X B l P S J O Y W 1 l V X B k Y X R l Z E F m d G V y R m l s b C I g V m F s d W U 9 I m w w I i A v P j x F b n R y e S B U e X B l P S J G a W x s V G F y Z 2 V 0 T m F t Z U N 1 c 3 R v b W l 6 Z W Q i I F Z h b H V l P S J s M S I g L z 4 8 R W 5 0 c n k g V H l w Z T 0 i U m V z d W x 0 V H l w Z S I g V m F s d W U 9 I n N U Y W J s Z S I g L z 4 8 R W 5 0 c n k g V H l w Z T 0 i Q n V m Z m V y T m V 4 d F J l Z n J l c 2 g i I F Z h b H V l P S J s M S I g L z 4 8 R W 5 0 c n k g V H l w Z T 0 i R m l s b E x h c 3 R V c G R h d G V k I i B W Y W x 1 Z T 0 i Z D I w M j Y t M D E t M D F U M D k 6 M z A 6 M j Y u M z E 3 M D E z M F o i I C 8 + P E V u d H J 5 I F R 5 c G U 9 I k Z p b G x D b 2 x 1 b W 5 U e X B l c y I g V m F s d W U 9 I n N C Z 1 l H Q m d Z R 0 J n W U R B d 0 1 E Q X d N R E F 3 T U R B d 0 1 H Q X d N R E F 3 T U R B d 1 l E Q X d N R E F 3 T U R C Z 1 l H Q m d j S E J n W U d C Z 1 l H Q X d Z R 0 J n W T 0 i I C 8 + P E V u d H J 5 I F R 5 c G U 9 I k Z p b G x D b 2 x 1 b W 5 O Y W 1 l c y I g V m F s d W U 9 I n N b J n F 1 b 3 Q 7 S 3 J p b m d k Y W c m c X V v d D s s J n F 1 b 3 Q 7 V m V y L m 5 y L i Z x d W 9 0 O y w m c X V v d D t O Y W F t I H Z l c m V u a W d p b m c m c X V v d D s s J n F 1 b 3 Q 7 R G V s Z W d h d G l l J n F 1 b 3 Q 7 L C Z x d W 9 0 O 0 1 1 e m l l a 2 t v c n B z I H R p a m R l b n M g b W F y c y B l b i B k Z W Z p b F x 1 M D B F O S Z x d W 9 0 O y w m c X V v d D t E Z W V s b m F t Z S B q Z X V n Z G t v b m l u Z 3 N j a G l l d G V u J n F 1 b 3 Q 7 L C Z x d W 9 0 O 0 1 h a i 4 g U 2 V u a W 9 y Z W 4 g a n V y Z X J l b i B i a W o g b W F y c y Z x d W 9 0 O y w m c X V v d D t N Y W o u I E p l d W d k I G p 1 c m V y Z W 4 g Y m l q I G 1 h c n M m c X V v d D s s J n F 1 b 3 Q 7 S 2 9 y c H M g c 2 V u a W 9 y Z W 4 m c X V v d D s s J n F 1 b 3 Q 7 S n V u a W 9 y Z W 4 g a 2 9 y c H M g M S Z x d W 9 0 O y w m c X V v d D t K d W 5 p b 3 J l b i B r b 3 J w c y A y J n F 1 b 3 Q 7 L C Z x d W 9 0 O 0 F z c G l y Y W 5 0 Z W 4 g a 2 9 y c H M g M S Z x d W 9 0 O y w m c X V v d D t B c 3 B p c m F u d G V u I G t v c n B z I D I m c X V v d D s s J n F 1 b 3 Q 7 Q W N y b 2 J h d G l z Y 2 g g c 2 V u a W 9 y Z W 4 m c X V v d D s s J n F 1 b 3 Q 7 Q W N y b 2 J h d G l z Y 2 g g a n V u a W 9 y Z W 4 m c X V v d D s s J n F 1 b 3 Q 7 Q W N y b 2 J h d G l z Y 2 g g Y X N w a X J h b n R l b i Z x d W 9 0 O y w m c X V v d D t P c G d l d m V u I H Z l b m R l b G l l c n M g a W 5 k L i Z x d W 9 0 O y w m c X V v d D t B Y 3 J v Y i 4 g c 2 V u a W 9 y Z W 4 g a W 5 k a X Y u J n F 1 b 3 Q 7 L C Z x d W 9 0 O 0 F j c m 9 i L i B q d W 5 p b 3 J l b i B p b m R p d i 4 m c X V v d D s s J n F 1 b 3 Q 7 Q W N y b 2 I u I G F z c G l y Y W 5 0 Z W 4 g a W 5 k a X Y u J n F 1 b 3 Q 7 L C Z x d W 9 0 O 0 R l Z W x u Y W 1 l I G h v b 2 Z k a 2 9 y c H M m c X V v d D s s J n F 1 b 3 Q 7 R 3 J v Z X B l b i w g d G V h b X M s I G V u c 2 V t Y m x l c y B l b i B k d W 9 c d T A w M j d z J n F 1 b 3 Q 7 L C Z x d W 9 0 O 0 F h b n R h b C B v c G d l Z 2 V 2 Z W 4 g b W F q b 3 J l d H R l c y Z x d W 9 0 O y w m c X V v d D t P c G d l d m V u I G J p Z W x l b W F u b m V u J n F 1 b 3 Q 7 L C Z x d W 9 0 O 1 N l b m l v c m V u J n F 1 b 3 Q 7 L C Z x d W 9 0 O 0 p v b m c g V m 9 s d 2 F z c 2 V u Z S Z x d W 9 0 O y w m c X V v d D t K d W 5 p b 3 J l b i Z x d W 9 0 O y w m c X V v d D t B c 3 B p c m F u d G V u J n F 1 b 3 Q 7 L C Z x d W 9 0 O 0 R l Z W x u Y W 1 l I G 1 h c m t l d G V u d H N 0 Z X J z J n F 1 b 3 Q 7 L C Z x d W 9 0 O 0 F h b n R h b C B s d W N o d G d l d 2 V l c n N j a H V 0 d G V y c y Z x d W 9 0 O y w m c X V v d D t B Y W 5 0 Y W w g b H V j a H R w a X N 0 b 2 9 s c 2 N o d X R 0 Z X J z J n F 1 b 3 Q 7 L C Z x d W 9 0 O 0 F h b n R h b C B o Y W 5 k Y m 9 v Z 3 N j a H V 0 d G V y c y Z x d W 9 0 O y w m c X V v d D t B Y W 5 0 Y W w g a 3 J 1 a X N i b 2 9 n c 2 N o d X R 0 Z X J z J n F 1 b 3 Q 7 L C Z x d W 9 0 O y h B Y W 5 0 Y W w g a m V 1 Z 2 R r b 3 J w c 2 V u J n F 1 b 3 Q 7 L C Z x d W 9 0 O 1 R v d G F h b C B h Y W 5 0 Y W w g Z G V l b G 5 l b W V y c y Z x d W 9 0 O y w m c X V v d D t X Y W F y d m F u I G F h b n R h b C B q Z X V n Z C A o d C 9 t I D E 1 I G p h Y X I p J n F 1 b 3 Q 7 L C Z x d W 9 0 O 0 t h b m 9 u I G V 0 Y y 4 m c X V v d D s s J n F 1 b 3 Q 7 U G F h c m R l b i B l b i 9 v Z i B r b 2 V 0 c 2 V u J n F 1 b 3 Q 7 L C Z x d W 9 0 O 1 R v Z W x p Y 2 h 0 a W 5 n L 2 9 w b W V y a 2 l u Z 2 V u J n F 1 b 3 Q 7 L C Z x d W 9 0 O 0 l u e m V u Z G l u Z y 1 J R C Z x d W 9 0 O y w m c X V v d D t J b n p l b m R k Y X R 1 b S Z x d W 9 0 O y w m c X V v d D t E Y X R l I F V w Z G F 0 Z W Q m c X V v d D s s J n F 1 b 3 Q 7 T m F h b S B 2 Y W 4 g a G V 0 I G h v b 2 Z k a 2 9 y c H M m c X V v d D s s J n F 1 b 3 Q 7 W m F s I G 9 w I H R y Z W R l b i B h b H M g K G h v b 2 Z k a 2 9 y c H M p J n F 1 b 3 Q 7 L C Z x d W 9 0 O 1 Z v c m 0 g d m F u I H R 3 Z W U g b X V 6 a W V r d 2 V y a 2 V u I C h o b 2 9 m Z G t v c n B z K S Z x d W 9 0 O y w m c X V v d D t a Y W w g d W l 0 a 2 9 t Z W 4 g a W 4 g Z G U 6 I C h o b 2 9 m Z G t v c n B z K S Z x d W 9 0 O y w m c X V v d D t N d X p p Z W t 3 Z X J r M S A o a G 9 v Z m R r b 3 J w c y k m c X V v d D s s J n F 1 b 3 Q 7 T X V 6 a W V r d 2 V y a z I g K G h v b 2 Z k a 2 9 y c H M p J n F 1 b 3 Q 7 L C Z x d W 9 0 O 0 t v c n B z I G J l c 3 R h Y X Q g d W l 0 I C 4 u L i B k Z W V s b m V t Z X J z I C h o b 2 9 m Z G t v c n B z K S Z x d W 9 0 O y w m c X V v d D t X b 3 J k d C B l c i B n Z W J y d W l r I G d l b W F h a 3 Q g d m F u I G 1 l Y 2 h h b m l z Y 2 h l I G 1 1 e m l l a z 8 m c X V v d D s s J n F 1 b 3 Q 7 T 2 5 k Z X J k Z W x l b i Z x d W 9 0 O y w m c X V v d D t T Z W N 0 a W V z J n F 1 b 3 Q 7 L C Z x d W 9 0 O 0 x l Z W Z 0 a W p k c 2 N h d G V n b 3 J p Z S Z x d W 9 0 O 1 0 i I C 8 + P E V u d H J 5 I F R 5 c G U 9 I k Z p b G x F c n J v c k N v d W 5 0 I i B W Y W x 1 Z T 0 i b D A i I C 8 + P E V u d H J 5 I F R 5 c G U 9 I k Z p b G x T d G F 0 d X M i I F Z h b H V l P S J z Q 2 9 t c G x l d G U i I C 8 + P E V u d H J 5 I F R 5 c G U 9 I k Z p b G x F c n J v c k N v Z G U i I F Z h b H V l P S J z V W 5 r b m 9 3 b i I g L z 4 8 R W 5 0 c n k g V H l w Z T 0 i R m l s b E N v d W 5 0 I i B W Y W x 1 Z T 0 i b D E 0 I i A v P j x F b n R y e S B U e X B l P S J S Z W x h d G l v b n N o a X B J b m Z v Q 2 9 u d G F p b m V y I i B W Y W x 1 Z T 0 i c 3 s m c X V v d D t j b 2 x 1 b W 5 D b 3 V u d C Z x d W 9 0 O z o 1 M y w m c X V v d D t r Z X l D b 2 x 1 b W 5 O Y W 1 l c y Z x d W 9 0 O z p b X S w m c X V v d D t x d W V y e V J l b G F 0 a W 9 u c 2 h p c H M m c X V v d D s 6 W 1 0 s J n F 1 b 3 Q 7 Y 2 9 s d W 1 u S W R l b n R p d G l l c y Z x d W 9 0 O z p b J n F 1 b 3 Q 7 U 2 V j d G l v b j E v S 0 R N L 0 F 1 d G 9 S Z W 1 v d m V k Q 2 9 s d W 1 u c z E u e 0 t y a W 5 n Z G F n L D B 9 J n F 1 b 3 Q 7 L C Z x d W 9 0 O 1 N l Y 3 R p b 2 4 x L 0 t E T S 9 B d X R v U m V t b 3 Z l Z E N v b H V t b n M x L n t W Z X I u b n I u L D F 9 J n F 1 b 3 Q 7 L C Z x d W 9 0 O 1 N l Y 3 R p b 2 4 x L 0 t E T S 9 B d X R v U m V t b 3 Z l Z E N v b H V t b n M x L n t O Y W F t I H Z l c m V u a W d p b m c s M n 0 m c X V v d D s s J n F 1 b 3 Q 7 U 2 V j d G l v b j E v S 0 R N L 0 F 1 d G 9 S Z W 1 v d m V k Q 2 9 s d W 1 u c z E u e 0 R l b G V n Y X R p Z S w z f S Z x d W 9 0 O y w m c X V v d D t T Z W N 0 a W 9 u M S 9 L R E 0 v Q X V 0 b 1 J l b W 9 2 Z W R D b 2 x 1 b W 5 z M S 5 7 T X V 6 a W V r a 2 9 y c H M g d G l q Z G V u c y B t Y X J z I G V u I G R l Z m l s X H U w M E U 5 L D R 9 J n F 1 b 3 Q 7 L C Z x d W 9 0 O 1 N l Y 3 R p b 2 4 x L 0 t E T S 9 B d X R v U m V t b 3 Z l Z E N v b H V t b n M x L n t E Z W V s b m F t Z S B q Z X V n Z G t v b m l u Z 3 N j a G l l d G V u L D V 9 J n F 1 b 3 Q 7 L C Z x d W 9 0 O 1 N l Y 3 R p b 2 4 x L 0 t E T S 9 B d X R v U m V t b 3 Z l Z E N v b H V t b n M x L n t N Y W o u I F N l b m l v c m V u I G p 1 c m V y Z W 4 g Y m l q I G 1 h c n M s N n 0 m c X V v d D s s J n F 1 b 3 Q 7 U 2 V j d G l v b j E v S 0 R N L 0 F 1 d G 9 S Z W 1 v d m V k Q 2 9 s d W 1 u c z E u e 0 1 h a i 4 g S m V 1 Z 2 Q g a n V y Z X J l b i B i a W o g b W F y c y w 3 f S Z x d W 9 0 O y w m c X V v d D t T Z W N 0 a W 9 u M S 9 L R E 0 v Q X V 0 b 1 J l b W 9 2 Z W R D b 2 x 1 b W 5 z M S 5 7 S 2 9 y c H M g c 2 V u a W 9 y Z W 4 s O H 0 m c X V v d D s s J n F 1 b 3 Q 7 U 2 V j d G l v b j E v S 0 R N L 0 F 1 d G 9 S Z W 1 v d m V k Q 2 9 s d W 1 u c z E u e 0 p 1 b m l v c m V u I G t v c n B z I D E s O X 0 m c X V v d D s s J n F 1 b 3 Q 7 U 2 V j d G l v b j E v S 0 R N L 0 F 1 d G 9 S Z W 1 v d m V k Q 2 9 s d W 1 u c z E u e 0 p 1 b m l v c m V u I G t v c n B z I D I s M T B 9 J n F 1 b 3 Q 7 L C Z x d W 9 0 O 1 N l Y 3 R p b 2 4 x L 0 t E T S 9 B d X R v U m V t b 3 Z l Z E N v b H V t b n M x L n t B c 3 B p c m F u d G V u I G t v c n B z I D E s M T F 9 J n F 1 b 3 Q 7 L C Z x d W 9 0 O 1 N l Y 3 R p b 2 4 x L 0 t E T S 9 B d X R v U m V t b 3 Z l Z E N v b H V t b n M x L n t B c 3 B p c m F u d G V u I G t v c n B z I D I s M T J 9 J n F 1 b 3 Q 7 L C Z x d W 9 0 O 1 N l Y 3 R p b 2 4 x L 0 t E T S 9 B d X R v U m V t b 3 Z l Z E N v b H V t b n M x L n t B Y 3 J v Y m F 0 a X N j a C B z Z W 5 p b 3 J l b i w x M 3 0 m c X V v d D s s J n F 1 b 3 Q 7 U 2 V j d G l v b j E v S 0 R N L 0 F 1 d G 9 S Z W 1 v d m V k Q 2 9 s d W 1 u c z E u e 0 F j c m 9 i Y X R p c 2 N o I G p 1 b m l v c m V u L D E 0 f S Z x d W 9 0 O y w m c X V v d D t T Z W N 0 a W 9 u M S 9 L R E 0 v Q X V 0 b 1 J l b W 9 2 Z W R D b 2 x 1 b W 5 z M S 5 7 Q W N y b 2 J h d G l z Y 2 g g Y X N w a X J h b n R l b i w x N X 0 m c X V v d D s s J n F 1 b 3 Q 7 U 2 V j d G l v b j E v S 0 R N L 0 F 1 d G 9 S Z W 1 v d m V k Q 2 9 s d W 1 u c z E u e 0 9 w Z 2 V 2 Z W 4 g d m V u Z G V s a W V y c y B p b m Q u L D E 2 f S Z x d W 9 0 O y w m c X V v d D t T Z W N 0 a W 9 u M S 9 L R E 0 v Q X V 0 b 1 J l b W 9 2 Z W R D b 2 x 1 b W 5 z M S 5 7 Q W N y b 2 I u I H N l b m l v c m V u I G l u Z G l 2 L i w x N 3 0 m c X V v d D s s J n F 1 b 3 Q 7 U 2 V j d G l v b j E v S 0 R N L 0 F 1 d G 9 S Z W 1 v d m V k Q 2 9 s d W 1 u c z E u e 0 F j c m 9 i L i B q d W 5 p b 3 J l b i B p b m R p d i 4 s M T h 9 J n F 1 b 3 Q 7 L C Z x d W 9 0 O 1 N l Y 3 R p b 2 4 x L 0 t E T S 9 B d X R v U m V t b 3 Z l Z E N v b H V t b n M x L n t B Y 3 J v Y i 4 g Y X N w a X J h b n R l b i B p b m R p d i 4 s M T l 9 J n F 1 b 3 Q 7 L C Z x d W 9 0 O 1 N l Y 3 R p b 2 4 x L 0 t E T S 9 B d X R v U m V t b 3 Z l Z E N v b H V t b n M x L n t E Z W V s b m F t Z S B o b 2 9 m Z G t v c n B z L D I w f S Z x d W 9 0 O y w m c X V v d D t T Z W N 0 a W 9 u M S 9 L R E 0 v Q X V 0 b 1 J l b W 9 2 Z W R D b 2 x 1 b W 5 z M S 5 7 R 3 J v Z X B l b i w g d G V h b X M s I G V u c 2 V t Y m x l c y B l b i B k d W 9 c d T A w M j d z L D I x f S Z x d W 9 0 O y w m c X V v d D t T Z W N 0 a W 9 u M S 9 L R E 0 v Q X V 0 b 1 J l b W 9 2 Z W R D b 2 x 1 b W 5 z M S 5 7 Q W F u d G F s I G 9 w Z 2 V n Z X Z l b i B t Y W p v c m V 0 d G V z L D I y f S Z x d W 9 0 O y w m c X V v d D t T Z W N 0 a W 9 u M S 9 L R E 0 v Q X V 0 b 1 J l b W 9 2 Z W R D b 2 x 1 b W 5 z M S 5 7 T 3 B n Z X Z l b i B i a W V s Z W 1 h b m 5 l b i w y M 3 0 m c X V v d D s s J n F 1 b 3 Q 7 U 2 V j d G l v b j E v S 0 R N L 0 F 1 d G 9 S Z W 1 v d m V k Q 2 9 s d W 1 u c z E u e 1 N l b m l v c m V u L D I 0 f S Z x d W 9 0 O y w m c X V v d D t T Z W N 0 a W 9 u M S 9 L R E 0 v Q X V 0 b 1 J l b W 9 2 Z W R D b 2 x 1 b W 5 z M S 5 7 S m 9 u Z y B W b 2 x 3 Y X N z Z W 5 l L D I 1 f S Z x d W 9 0 O y w m c X V v d D t T Z W N 0 a W 9 u M S 9 L R E 0 v Q X V 0 b 1 J l b W 9 2 Z W R D b 2 x 1 b W 5 z M S 5 7 S n V u a W 9 y Z W 4 s M j Z 9 J n F 1 b 3 Q 7 L C Z x d W 9 0 O 1 N l Y 3 R p b 2 4 x L 0 t E T S 9 B d X R v U m V t b 3 Z l Z E N v b H V t b n M x L n t B c 3 B p c m F u d G V u L D I 3 f S Z x d W 9 0 O y w m c X V v d D t T Z W N 0 a W 9 u M S 9 L R E 0 v Q X V 0 b 1 J l b W 9 2 Z W R D b 2 x 1 b W 5 z M S 5 7 R G V l b G 5 h b W U g b W F y a 2 V 0 Z W 5 0 c 3 R l c n M s M j h 9 J n F 1 b 3 Q 7 L C Z x d W 9 0 O 1 N l Y 3 R p b 2 4 x L 0 t E T S 9 B d X R v U m V t b 3 Z l Z E N v b H V t b n M x L n t B Y W 5 0 Y W w g b H V j a H R n Z X d l Z X J z Y 2 h 1 d H R l c n M s M j l 9 J n F 1 b 3 Q 7 L C Z x d W 9 0 O 1 N l Y 3 R p b 2 4 x L 0 t E T S 9 B d X R v U m V t b 3 Z l Z E N v b H V t b n M x L n t B Y W 5 0 Y W w g b H V j a H R w a X N 0 b 2 9 s c 2 N o d X R 0 Z X J z L D M w f S Z x d W 9 0 O y w m c X V v d D t T Z W N 0 a W 9 u M S 9 L R E 0 v Q X V 0 b 1 J l b W 9 2 Z W R D b 2 x 1 b W 5 z M S 5 7 Q W F u d G F s I G h h b m R i b 2 9 n c 2 N o d X R 0 Z X J z L D M x f S Z x d W 9 0 O y w m c X V v d D t T Z W N 0 a W 9 u M S 9 L R E 0 v Q X V 0 b 1 J l b W 9 2 Z W R D b 2 x 1 b W 5 z M S 5 7 Q W F u d G F s I G t y d W l z Y m 9 v Z 3 N j a H V 0 d G V y c y w z M n 0 m c X V v d D s s J n F 1 b 3 Q 7 U 2 V j d G l v b j E v S 0 R N L 0 F 1 d G 9 S Z W 1 v d m V k Q 2 9 s d W 1 u c z E u e y h B Y W 5 0 Y W w g a m V 1 Z 2 R r b 3 J w c 2 V u L D M z f S Z x d W 9 0 O y w m c X V v d D t T Z W N 0 a W 9 u M S 9 L R E 0 v Q X V 0 b 1 J l b W 9 2 Z W R D b 2 x 1 b W 5 z M S 5 7 V G 9 0 Y W F s I G F h b n R h b C B k Z W V s b m V t Z X J z L D M 0 f S Z x d W 9 0 O y w m c X V v d D t T Z W N 0 a W 9 u M S 9 L R E 0 v Q X V 0 b 1 J l b W 9 2 Z W R D b 2 x 1 b W 5 z M S 5 7 V 2 F h c n Z h b i B h Y W 5 0 Y W w g a m V 1 Z 2 Q g K H Q v b S A x N S B q Y W F y K S w z N X 0 m c X V v d D s s J n F 1 b 3 Q 7 U 2 V j d G l v b j E v S 0 R N L 0 F 1 d G 9 S Z W 1 v d m V k Q 2 9 s d W 1 u c z E u e 0 t h b m 9 u I G V 0 Y y 4 s M z Z 9 J n F 1 b 3 Q 7 L C Z x d W 9 0 O 1 N l Y 3 R p b 2 4 x L 0 t E T S 9 B d X R v U m V t b 3 Z l Z E N v b H V t b n M x L n t Q Y W F y Z G V u I G V u L 2 9 m I G t v Z X R z Z W 4 s M z d 9 J n F 1 b 3 Q 7 L C Z x d W 9 0 O 1 N l Y 3 R p b 2 4 x L 0 t E T S 9 B d X R v U m V t b 3 Z l Z E N v b H V t b n M x L n t U b 2 V s a W N o d G l u Z y 9 v c G 1 l c m t p b m d l b i w z O H 0 m c X V v d D s s J n F 1 b 3 Q 7 U 2 V j d G l v b j E v S 0 R N L 0 F 1 d G 9 S Z W 1 v d m V k Q 2 9 s d W 1 u c z E u e 0 l u e m V u Z G l u Z y 1 J R C w z O X 0 m c X V v d D s s J n F 1 b 3 Q 7 U 2 V j d G l v b j E v S 0 R N L 0 F 1 d G 9 S Z W 1 v d m V k Q 2 9 s d W 1 u c z E u e 0 l u e m V u Z G R h d H V t L D Q w f S Z x d W 9 0 O y w m c X V v d D t T Z W N 0 a W 9 u M S 9 L R E 0 v Q X V 0 b 1 J l b W 9 2 Z W R D b 2 x 1 b W 5 z M S 5 7 R G F 0 Z S B V c G R h d G V k L D Q x f S Z x d W 9 0 O y w m c X V v d D t T Z W N 0 a W 9 u M S 9 L R E 0 v Q X V 0 b 1 J l b W 9 2 Z W R D b 2 x 1 b W 5 z M S 5 7 T m F h b S B 2 Y W 4 g a G V 0 I G h v b 2 Z k a 2 9 y c H M s N D J 9 J n F 1 b 3 Q 7 L C Z x d W 9 0 O 1 N l Y 3 R p b 2 4 x L 0 t E T S 9 B d X R v U m V t b 3 Z l Z E N v b H V t b n M x L n t a Y W w g b 3 A g d H J l Z G V u I G F s c y A o a G 9 v Z m R r b 3 J w c y k s N D N 9 J n F 1 b 3 Q 7 L C Z x d W 9 0 O 1 N l Y 3 R p b 2 4 x L 0 t E T S 9 B d X R v U m V t b 3 Z l Z E N v b H V t b n M x L n t W b 3 J t I H Z h b i B 0 d 2 V l I G 1 1 e m l l a 3 d l c m t l b i A o a G 9 v Z m R r b 3 J w c y k s N D R 9 J n F 1 b 3 Q 7 L C Z x d W 9 0 O 1 N l Y 3 R p b 2 4 x L 0 t E T S 9 B d X R v U m V t b 3 Z l Z E N v b H V t b n M x L n t a Y W w g d W l 0 a 2 9 t Z W 4 g a W 4 g Z G U 6 I C h o b 2 9 m Z G t v c n B z K S w 0 N X 0 m c X V v d D s s J n F 1 b 3 Q 7 U 2 V j d G l v b j E v S 0 R N L 0 F 1 d G 9 S Z W 1 v d m V k Q 2 9 s d W 1 u c z E u e 0 1 1 e m l l a 3 d l c m s x I C h o b 2 9 m Z G t v c n B z K S w 0 N n 0 m c X V v d D s s J n F 1 b 3 Q 7 U 2 V j d G l v b j E v S 0 R N L 0 F 1 d G 9 S Z W 1 v d m V k Q 2 9 s d W 1 u c z E u e 0 1 1 e m l l a 3 d l c m s y I C h o b 2 9 m Z G t v c n B z K S w 0 N 3 0 m c X V v d D s s J n F 1 b 3 Q 7 U 2 V j d G l v b j E v S 0 R N L 0 F 1 d G 9 S Z W 1 v d m V k Q 2 9 s d W 1 u c z E u e 0 t v c n B z I G J l c 3 R h Y X Q g d W l 0 I C 4 u L i B k Z W V s b m V t Z X J z I C h o b 2 9 m Z G t v c n B z K S w 0 O H 0 m c X V v d D s s J n F 1 b 3 Q 7 U 2 V j d G l v b j E v S 0 R N L 0 F 1 d G 9 S Z W 1 v d m V k Q 2 9 s d W 1 u c z E u e 1 d v c m R 0 I G V y I G d l Y n J 1 a W s g Z 2 V t Y W F r d C B 2 Y W 4 g b W V j a G F u a X N j a G U g b X V 6 a W V r P y w 0 O X 0 m c X V v d D s s J n F 1 b 3 Q 7 U 2 V j d G l v b j E v S 0 R N L 0 F 1 d G 9 S Z W 1 v d m V k Q 2 9 s d W 1 u c z E u e 0 9 u Z G V y Z G V s Z W 4 s N T B 9 J n F 1 b 3 Q 7 L C Z x d W 9 0 O 1 N l Y 3 R p b 2 4 x L 0 t E T S 9 B d X R v U m V t b 3 Z l Z E N v b H V t b n M x L n t T Z W N 0 a W V z L D U x f S Z x d W 9 0 O y w m c X V v d D t T Z W N 0 a W 9 u M S 9 L R E 0 v Q X V 0 b 1 J l b W 9 2 Z W R D b 2 x 1 b W 5 z M S 5 7 T G V l Z n R p a m R z Y 2 F 0 Z W d v c m l l L D U y f S Z x d W 9 0 O 1 0 s J n F 1 b 3 Q 7 Q 2 9 s d W 1 u Q 2 9 1 b n Q m c X V v d D s 6 N T M s J n F 1 b 3 Q 7 S 2 V 5 Q 2 9 s d W 1 u T m F t Z X M m c X V v d D s 6 W 1 0 s J n F 1 b 3 Q 7 Q 2 9 s d W 1 u S W R l b n R p d G l l c y Z x d W 9 0 O z p b J n F 1 b 3 Q 7 U 2 V j d G l v b j E v S 0 R N L 0 F 1 d G 9 S Z W 1 v d m V k Q 2 9 s d W 1 u c z E u e 0 t y a W 5 n Z G F n L D B 9 J n F 1 b 3 Q 7 L C Z x d W 9 0 O 1 N l Y 3 R p b 2 4 x L 0 t E T S 9 B d X R v U m V t b 3 Z l Z E N v b H V t b n M x L n t W Z X I u b n I u L D F 9 J n F 1 b 3 Q 7 L C Z x d W 9 0 O 1 N l Y 3 R p b 2 4 x L 0 t E T S 9 B d X R v U m V t b 3 Z l Z E N v b H V t b n M x L n t O Y W F t I H Z l c m V u a W d p b m c s M n 0 m c X V v d D s s J n F 1 b 3 Q 7 U 2 V j d G l v b j E v S 0 R N L 0 F 1 d G 9 S Z W 1 v d m V k Q 2 9 s d W 1 u c z E u e 0 R l b G V n Y X R p Z S w z f S Z x d W 9 0 O y w m c X V v d D t T Z W N 0 a W 9 u M S 9 L R E 0 v Q X V 0 b 1 J l b W 9 2 Z W R D b 2 x 1 b W 5 z M S 5 7 T X V 6 a W V r a 2 9 y c H M g d G l q Z G V u c y B t Y X J z I G V u I G R l Z m l s X H U w M E U 5 L D R 9 J n F 1 b 3 Q 7 L C Z x d W 9 0 O 1 N l Y 3 R p b 2 4 x L 0 t E T S 9 B d X R v U m V t b 3 Z l Z E N v b H V t b n M x L n t E Z W V s b m F t Z S B q Z X V n Z G t v b m l u Z 3 N j a G l l d G V u L D V 9 J n F 1 b 3 Q 7 L C Z x d W 9 0 O 1 N l Y 3 R p b 2 4 x L 0 t E T S 9 B d X R v U m V t b 3 Z l Z E N v b H V t b n M x L n t N Y W o u I F N l b m l v c m V u I G p 1 c m V y Z W 4 g Y m l q I G 1 h c n M s N n 0 m c X V v d D s s J n F 1 b 3 Q 7 U 2 V j d G l v b j E v S 0 R N L 0 F 1 d G 9 S Z W 1 v d m V k Q 2 9 s d W 1 u c z E u e 0 1 h a i 4 g S m V 1 Z 2 Q g a n V y Z X J l b i B i a W o g b W F y c y w 3 f S Z x d W 9 0 O y w m c X V v d D t T Z W N 0 a W 9 u M S 9 L R E 0 v Q X V 0 b 1 J l b W 9 2 Z W R D b 2 x 1 b W 5 z M S 5 7 S 2 9 y c H M g c 2 V u a W 9 y Z W 4 s O H 0 m c X V v d D s s J n F 1 b 3 Q 7 U 2 V j d G l v b j E v S 0 R N L 0 F 1 d G 9 S Z W 1 v d m V k Q 2 9 s d W 1 u c z E u e 0 p 1 b m l v c m V u I G t v c n B z I D E s O X 0 m c X V v d D s s J n F 1 b 3 Q 7 U 2 V j d G l v b j E v S 0 R N L 0 F 1 d G 9 S Z W 1 v d m V k Q 2 9 s d W 1 u c z E u e 0 p 1 b m l v c m V u I G t v c n B z I D I s M T B 9 J n F 1 b 3 Q 7 L C Z x d W 9 0 O 1 N l Y 3 R p b 2 4 x L 0 t E T S 9 B d X R v U m V t b 3 Z l Z E N v b H V t b n M x L n t B c 3 B p c m F u d G V u I G t v c n B z I D E s M T F 9 J n F 1 b 3 Q 7 L C Z x d W 9 0 O 1 N l Y 3 R p b 2 4 x L 0 t E T S 9 B d X R v U m V t b 3 Z l Z E N v b H V t b n M x L n t B c 3 B p c m F u d G V u I G t v c n B z I D I s M T J 9 J n F 1 b 3 Q 7 L C Z x d W 9 0 O 1 N l Y 3 R p b 2 4 x L 0 t E T S 9 B d X R v U m V t b 3 Z l Z E N v b H V t b n M x L n t B Y 3 J v Y m F 0 a X N j a C B z Z W 5 p b 3 J l b i w x M 3 0 m c X V v d D s s J n F 1 b 3 Q 7 U 2 V j d G l v b j E v S 0 R N L 0 F 1 d G 9 S Z W 1 v d m V k Q 2 9 s d W 1 u c z E u e 0 F j c m 9 i Y X R p c 2 N o I G p 1 b m l v c m V u L D E 0 f S Z x d W 9 0 O y w m c X V v d D t T Z W N 0 a W 9 u M S 9 L R E 0 v Q X V 0 b 1 J l b W 9 2 Z W R D b 2 x 1 b W 5 z M S 5 7 Q W N y b 2 J h d G l z Y 2 g g Y X N w a X J h b n R l b i w x N X 0 m c X V v d D s s J n F 1 b 3 Q 7 U 2 V j d G l v b j E v S 0 R N L 0 F 1 d G 9 S Z W 1 v d m V k Q 2 9 s d W 1 u c z E u e 0 9 w Z 2 V 2 Z W 4 g d m V u Z G V s a W V y c y B p b m Q u L D E 2 f S Z x d W 9 0 O y w m c X V v d D t T Z W N 0 a W 9 u M S 9 L R E 0 v Q X V 0 b 1 J l b W 9 2 Z W R D b 2 x 1 b W 5 z M S 5 7 Q W N y b 2 I u I H N l b m l v c m V u I G l u Z G l 2 L i w x N 3 0 m c X V v d D s s J n F 1 b 3 Q 7 U 2 V j d G l v b j E v S 0 R N L 0 F 1 d G 9 S Z W 1 v d m V k Q 2 9 s d W 1 u c z E u e 0 F j c m 9 i L i B q d W 5 p b 3 J l b i B p b m R p d i 4 s M T h 9 J n F 1 b 3 Q 7 L C Z x d W 9 0 O 1 N l Y 3 R p b 2 4 x L 0 t E T S 9 B d X R v U m V t b 3 Z l Z E N v b H V t b n M x L n t B Y 3 J v Y i 4 g Y X N w a X J h b n R l b i B p b m R p d i 4 s M T l 9 J n F 1 b 3 Q 7 L C Z x d W 9 0 O 1 N l Y 3 R p b 2 4 x L 0 t E T S 9 B d X R v U m V t b 3 Z l Z E N v b H V t b n M x L n t E Z W V s b m F t Z S B o b 2 9 m Z G t v c n B z L D I w f S Z x d W 9 0 O y w m c X V v d D t T Z W N 0 a W 9 u M S 9 L R E 0 v Q X V 0 b 1 J l b W 9 2 Z W R D b 2 x 1 b W 5 z M S 5 7 R 3 J v Z X B l b i w g d G V h b X M s I G V u c 2 V t Y m x l c y B l b i B k d W 9 c d T A w M j d z L D I x f S Z x d W 9 0 O y w m c X V v d D t T Z W N 0 a W 9 u M S 9 L R E 0 v Q X V 0 b 1 J l b W 9 2 Z W R D b 2 x 1 b W 5 z M S 5 7 Q W F u d G F s I G 9 w Z 2 V n Z X Z l b i B t Y W p v c m V 0 d G V z L D I y f S Z x d W 9 0 O y w m c X V v d D t T Z W N 0 a W 9 u M S 9 L R E 0 v Q X V 0 b 1 J l b W 9 2 Z W R D b 2 x 1 b W 5 z M S 5 7 T 3 B n Z X Z l b i B i a W V s Z W 1 h b m 5 l b i w y M 3 0 m c X V v d D s s J n F 1 b 3 Q 7 U 2 V j d G l v b j E v S 0 R N L 0 F 1 d G 9 S Z W 1 v d m V k Q 2 9 s d W 1 u c z E u e 1 N l b m l v c m V u L D I 0 f S Z x d W 9 0 O y w m c X V v d D t T Z W N 0 a W 9 u M S 9 L R E 0 v Q X V 0 b 1 J l b W 9 2 Z W R D b 2 x 1 b W 5 z M S 5 7 S m 9 u Z y B W b 2 x 3 Y X N z Z W 5 l L D I 1 f S Z x d W 9 0 O y w m c X V v d D t T Z W N 0 a W 9 u M S 9 L R E 0 v Q X V 0 b 1 J l b W 9 2 Z W R D b 2 x 1 b W 5 z M S 5 7 S n V u a W 9 y Z W 4 s M j Z 9 J n F 1 b 3 Q 7 L C Z x d W 9 0 O 1 N l Y 3 R p b 2 4 x L 0 t E T S 9 B d X R v U m V t b 3 Z l Z E N v b H V t b n M x L n t B c 3 B p c m F u d G V u L D I 3 f S Z x d W 9 0 O y w m c X V v d D t T Z W N 0 a W 9 u M S 9 L R E 0 v Q X V 0 b 1 J l b W 9 2 Z W R D b 2 x 1 b W 5 z M S 5 7 R G V l b G 5 h b W U g b W F y a 2 V 0 Z W 5 0 c 3 R l c n M s M j h 9 J n F 1 b 3 Q 7 L C Z x d W 9 0 O 1 N l Y 3 R p b 2 4 x L 0 t E T S 9 B d X R v U m V t b 3 Z l Z E N v b H V t b n M x L n t B Y W 5 0 Y W w g b H V j a H R n Z X d l Z X J z Y 2 h 1 d H R l c n M s M j l 9 J n F 1 b 3 Q 7 L C Z x d W 9 0 O 1 N l Y 3 R p b 2 4 x L 0 t E T S 9 B d X R v U m V t b 3 Z l Z E N v b H V t b n M x L n t B Y W 5 0 Y W w g b H V j a H R w a X N 0 b 2 9 s c 2 N o d X R 0 Z X J z L D M w f S Z x d W 9 0 O y w m c X V v d D t T Z W N 0 a W 9 u M S 9 L R E 0 v Q X V 0 b 1 J l b W 9 2 Z W R D b 2 x 1 b W 5 z M S 5 7 Q W F u d G F s I G h h b m R i b 2 9 n c 2 N o d X R 0 Z X J z L D M x f S Z x d W 9 0 O y w m c X V v d D t T Z W N 0 a W 9 u M S 9 L R E 0 v Q X V 0 b 1 J l b W 9 2 Z W R D b 2 x 1 b W 5 z M S 5 7 Q W F u d G F s I G t y d W l z Y m 9 v Z 3 N j a H V 0 d G V y c y w z M n 0 m c X V v d D s s J n F 1 b 3 Q 7 U 2 V j d G l v b j E v S 0 R N L 0 F 1 d G 9 S Z W 1 v d m V k Q 2 9 s d W 1 u c z E u e y h B Y W 5 0 Y W w g a m V 1 Z 2 R r b 3 J w c 2 V u L D M z f S Z x d W 9 0 O y w m c X V v d D t T Z W N 0 a W 9 u M S 9 L R E 0 v Q X V 0 b 1 J l b W 9 2 Z W R D b 2 x 1 b W 5 z M S 5 7 V G 9 0 Y W F s I G F h b n R h b C B k Z W V s b m V t Z X J z L D M 0 f S Z x d W 9 0 O y w m c X V v d D t T Z W N 0 a W 9 u M S 9 L R E 0 v Q X V 0 b 1 J l b W 9 2 Z W R D b 2 x 1 b W 5 z M S 5 7 V 2 F h c n Z h b i B h Y W 5 0 Y W w g a m V 1 Z 2 Q g K H Q v b S A x N S B q Y W F y K S w z N X 0 m c X V v d D s s J n F 1 b 3 Q 7 U 2 V j d G l v b j E v S 0 R N L 0 F 1 d G 9 S Z W 1 v d m V k Q 2 9 s d W 1 u c z E u e 0 t h b m 9 u I G V 0 Y y 4 s M z Z 9 J n F 1 b 3 Q 7 L C Z x d W 9 0 O 1 N l Y 3 R p b 2 4 x L 0 t E T S 9 B d X R v U m V t b 3 Z l Z E N v b H V t b n M x L n t Q Y W F y Z G V u I G V u L 2 9 m I G t v Z X R z Z W 4 s M z d 9 J n F 1 b 3 Q 7 L C Z x d W 9 0 O 1 N l Y 3 R p b 2 4 x L 0 t E T S 9 B d X R v U m V t b 3 Z l Z E N v b H V t b n M x L n t U b 2 V s a W N o d G l u Z y 9 v c G 1 l c m t p b m d l b i w z O H 0 m c X V v d D s s J n F 1 b 3 Q 7 U 2 V j d G l v b j E v S 0 R N L 0 F 1 d G 9 S Z W 1 v d m V k Q 2 9 s d W 1 u c z E u e 0 l u e m V u Z G l u Z y 1 J R C w z O X 0 m c X V v d D s s J n F 1 b 3 Q 7 U 2 V j d G l v b j E v S 0 R N L 0 F 1 d G 9 S Z W 1 v d m V k Q 2 9 s d W 1 u c z E u e 0 l u e m V u Z G R h d H V t L D Q w f S Z x d W 9 0 O y w m c X V v d D t T Z W N 0 a W 9 u M S 9 L R E 0 v Q X V 0 b 1 J l b W 9 2 Z W R D b 2 x 1 b W 5 z M S 5 7 R G F 0 Z S B V c G R h d G V k L D Q x f S Z x d W 9 0 O y w m c X V v d D t T Z W N 0 a W 9 u M S 9 L R E 0 v Q X V 0 b 1 J l b W 9 2 Z W R D b 2 x 1 b W 5 z M S 5 7 T m F h b S B 2 Y W 4 g a G V 0 I G h v b 2 Z k a 2 9 y c H M s N D J 9 J n F 1 b 3 Q 7 L C Z x d W 9 0 O 1 N l Y 3 R p b 2 4 x L 0 t E T S 9 B d X R v U m V t b 3 Z l Z E N v b H V t b n M x L n t a Y W w g b 3 A g d H J l Z G V u I G F s c y A o a G 9 v Z m R r b 3 J w c y k s N D N 9 J n F 1 b 3 Q 7 L C Z x d W 9 0 O 1 N l Y 3 R p b 2 4 x L 0 t E T S 9 B d X R v U m V t b 3 Z l Z E N v b H V t b n M x L n t W b 3 J t I H Z h b i B 0 d 2 V l I G 1 1 e m l l a 3 d l c m t l b i A o a G 9 v Z m R r b 3 J w c y k s N D R 9 J n F 1 b 3 Q 7 L C Z x d W 9 0 O 1 N l Y 3 R p b 2 4 x L 0 t E T S 9 B d X R v U m V t b 3 Z l Z E N v b H V t b n M x L n t a Y W w g d W l 0 a 2 9 t Z W 4 g a W 4 g Z G U 6 I C h o b 2 9 m Z G t v c n B z K S w 0 N X 0 m c X V v d D s s J n F 1 b 3 Q 7 U 2 V j d G l v b j E v S 0 R N L 0 F 1 d G 9 S Z W 1 v d m V k Q 2 9 s d W 1 u c z E u e 0 1 1 e m l l a 3 d l c m s x I C h o b 2 9 m Z G t v c n B z K S w 0 N n 0 m c X V v d D s s J n F 1 b 3 Q 7 U 2 V j d G l v b j E v S 0 R N L 0 F 1 d G 9 S Z W 1 v d m V k Q 2 9 s d W 1 u c z E u e 0 1 1 e m l l a 3 d l c m s y I C h o b 2 9 m Z G t v c n B z K S w 0 N 3 0 m c X V v d D s s J n F 1 b 3 Q 7 U 2 V j d G l v b j E v S 0 R N L 0 F 1 d G 9 S Z W 1 v d m V k Q 2 9 s d W 1 u c z E u e 0 t v c n B z I G J l c 3 R h Y X Q g d W l 0 I C 4 u L i B k Z W V s b m V t Z X J z I C h o b 2 9 m Z G t v c n B z K S w 0 O H 0 m c X V v d D s s J n F 1 b 3 Q 7 U 2 V j d G l v b j E v S 0 R N L 0 F 1 d G 9 S Z W 1 v d m V k Q 2 9 s d W 1 u c z E u e 1 d v c m R 0 I G V y I G d l Y n J 1 a W s g Z 2 V t Y W F r d C B 2 Y W 4 g b W V j a G F u a X N j a G U g b X V 6 a W V r P y w 0 O X 0 m c X V v d D s s J n F 1 b 3 Q 7 U 2 V j d G l v b j E v S 0 R N L 0 F 1 d G 9 S Z W 1 v d m V k Q 2 9 s d W 1 u c z E u e 0 9 u Z G V y Z G V s Z W 4 s N T B 9 J n F 1 b 3 Q 7 L C Z x d W 9 0 O 1 N l Y 3 R p b 2 4 x L 0 t E T S 9 B d X R v U m V t b 3 Z l Z E N v b H V t b n M x L n t T Z W N 0 a W V z L D U x f S Z x d W 9 0 O y w m c X V v d D t T Z W N 0 a W 9 u M S 9 L R E 0 v Q X V 0 b 1 J l b W 9 2 Z W R D b 2 x 1 b W 5 z M S 5 7 T G V l Z n R p a m R z Y 2 F 0 Z W d v c m l l L D U y f S Z x d W 9 0 O 1 0 s J n F 1 b 3 Q 7 U m V s Y X R p b 2 5 z a G l w S W 5 m b y Z x d W 9 0 O z p b X X 0 i I C 8 + P E V u d H J 5 I F R 5 c G U 9 I k F k Z G V k V G 9 E Y X R h T W 9 k Z W w i I F Z h b H V l P S J s M C I g L z 4 8 L 1 N 0 Y W J s Z U V u d H J p Z X M + P C 9 J d G V t P j x J d G V t P j x J d G V t T G 9 j Y X R p b 2 4 + P E l 0 Z W 1 U e X B l P k Z v c m 1 1 b G E 8 L 0 l 0 Z W 1 U e X B l P j x J d G V t U G F 0 a D 5 T Z W N 0 a W 9 u M S 9 L R E 0 v Q n J v b j w v S X R l b V B h d G g + P C 9 J d G V t T G 9 j Y X R p b 2 4 + P F N 0 Y W J s Z U V u d H J p Z X M g L z 4 8 L 0 l 0 Z W 0 + P E l 0 Z W 0 + P E l 0 Z W 1 M b 2 N h d G l v b j 4 8 S X R l b V R 5 c G U + R m 9 y b X V s Y T w v S X R l b V R 5 c G U + P E l 0 Z W 1 Q Y X R o P l N l Y 3 R p b 2 4 x L 0 t E T S 9 I Z W F k Z X J z J T I w b W V 0 J T I w d m V y a G 9 v Z 2 Q l M j B u a X Z l Y X U 8 L 0 l 0 Z W 1 Q Y X R o P j w v S X R l b U x v Y 2 F 0 a W 9 u P j x T d G F i b G V F b n R y a W V z I C 8 + P C 9 J d G V t P j x J d G V t P j x J d G V t T G 9 j Y X R p b 2 4 + P E l 0 Z W 1 U e X B l P k Z v c m 1 1 b G E 8 L 0 l 0 Z W 1 U e X B l P j x J d G V t U G F 0 a D 5 T Z W N 0 a W 9 u M S 9 L R E 0 v S G V 0 J T I w a 2 9 s b 2 1 0 e X B l J T I w a X M l M j B n Z X d p a n p p Z 2 Q 8 L 0 l 0 Z W 1 Q Y X R o P j w v S X R l b U x v Y 2 F 0 a W 9 u P j x T d G F i b G V F b n R y a W V z I C 8 + P C 9 J d G V t P j x J d G V t P j x J d G V t T G 9 j Y X R p b 2 4 + P E l 0 Z W 1 U e X B l P k Z v c m 1 1 b G E 8 L 0 l 0 Z W 1 U e X B l P j x J d G V t U G F 0 a D 5 T Z W N 0 a W 9 u M S 9 L R E 0 v Q W F u Z 2 V w Y X N 0 J T I w a X R l b S U y M H R v Z W d l d m 9 l Z 2 Q 8 L 0 l 0 Z W 1 Q Y X R o P j w v S X R l b U x v Y 2 F 0 a W 9 u P j x T d G F i b G V F b n R y a W V z I C 8 + P C 9 J d G V t P j x J d G V t P j x J d G V t T G 9 j Y X R p b 2 4 + P E l 0 Z W 1 U e X B l P k Z v c m 1 1 b G E 8 L 0 l 0 Z W 1 U e X B l P j x J d G V t U G F 0 a D 5 T Z W N 0 a W 9 u M S 9 L R E 0 v V m 9 v c n d h Y X J k Z W x p a m t l J T I w a 2 9 s b 2 0 l M j B p b m d l d m 9 l Z 2 Q 8 L 0 l 0 Z W 1 Q Y X R o P j w v S X R l b U x v Y 2 F 0 a W 9 u P j x T d G F i b G V F b n R y a W V z I C 8 + P C 9 J d G V t P j x J d G V t P j x J d G V t T G 9 j Y X R p b 2 4 + P E l 0 Z W 1 U e X B l P k Z v c m 1 1 b G E 8 L 0 l 0 Z W 1 U e X B l P j x J d G V t U G F 0 a D 5 T Z W N 0 a W 9 u M S 9 L R E 0 v Q W F u Z 2 V w Y X N 0 J T I w a X R l b S U y M H R v Z W d l d m 9 l Z 2 Q x P C 9 J d G V t U G F 0 a D 4 8 L 0 l 0 Z W 1 M b 2 N h d G l v b j 4 8 U 3 R h Y m x l R W 5 0 c m l l c y A v P j w v S X R l b T 4 8 S X R l b T 4 8 S X R l b U x v Y 2 F 0 a W 9 u P j x J d G V t V H l w Z T 5 G b 3 J t d W x h P C 9 J d G V t V H l w Z T 4 8 S X R l b V B h d G g + U 2 V j d G l v b j E v S 0 R N L 1 Z v b 3 J 3 Y W F y Z G V s a W p r Z S U y M G t v b G 9 t J T I w a W 5 n Z X Z v Z W d k M T w v S X R l b V B h d G g + P C 9 J d G V t T G 9 j Y X R p b 2 4 + P F N 0 Y W J s Z U V u d H J p Z X M g L z 4 8 L 0 l 0 Z W 0 + P E l 0 Z W 0 + P E l 0 Z W 1 M b 2 N h d G l v b j 4 8 S X R l b V R 5 c G U + R m 9 y b X V s Y T w v S X R l b V R 5 c G U + P E l 0 Z W 1 Q Y X R o P l N l Y 3 R p b 2 4 x L 0 t E T S 9 B Y W 5 n Z X B h c 3 Q l M j B p d G V t J T I w d G 9 l Z 2 V 2 b 2 V n Z D I 8 L 0 l 0 Z W 1 Q Y X R o P j w v S X R l b U x v Y 2 F 0 a W 9 u P j x T d G F i b G V F b n R y a W V z I C 8 + P C 9 J d G V t P j x J d G V t P j x J d G V t T G 9 j Y X R p b 2 4 + P E l 0 Z W 1 U e X B l P k Z v c m 1 1 b G E 8 L 0 l 0 Z W 1 U e X B l P j x J d G V t U G F 0 a D 5 T Z W N 0 a W 9 u M S 9 L R E 0 v V m 9 v c n d h Y X J k Z W x p a m t l J T I w a 2 9 s b 2 0 l M j B p b m d l d m 9 l Z 2 Q y P C 9 J d G V t U G F 0 a D 4 8 L 0 l 0 Z W 1 M b 2 N h d G l v b j 4 8 U 3 R h Y m x l R W 5 0 c m l l c y A v P j w v S X R l b T 4 8 S X R l b T 4 8 S X R l b U x v Y 2 F 0 a W 9 u P j x J d G V t V H l w Z T 5 G b 3 J t d W x h P C 9 J d G V t V H l w Z T 4 8 S X R l b V B h d G g + U 2 V j d G l v b j E v S 0 R N L 0 F h b m d l c G F z d C U y M G l 0 Z W 0 l M j B 0 b 2 V n Z X Z v Z W d k M z w v S X R l b V B h d G g + P C 9 J d G V t T G 9 j Y X R p b 2 4 + P F N 0 Y W J s Z U V u d H J p Z X M g L z 4 8 L 0 l 0 Z W 0 + P E l 0 Z W 0 + P E l 0 Z W 1 M b 2 N h d G l v b j 4 8 S X R l b V R 5 c G U + R m 9 y b X V s Y T w v S X R l b V R 5 c G U + P E l 0 Z W 1 Q Y X R o P l N l Y 3 R p b 2 4 x L 0 t E T S 9 W b 2 9 y d 2 F h c m R l b G l q a 2 U l M j B r b 2 x v b S U y M G l u Z 2 V 2 b 2 V n Z D M 8 L 0 l 0 Z W 1 Q Y X R o P j w v S X R l b U x v Y 2 F 0 a W 9 u P j x T d G F i b G V F b n R y a W V z I C 8 + P C 9 J d G V t P j x J d G V t P j x J d G V t T G 9 j Y X R p b 2 4 + P E l 0 Z W 1 U e X B l P k Z v c m 1 1 b G E 8 L 0 l 0 Z W 1 U e X B l P j x J d G V t U G F 0 a D 5 T Z W N 0 a W 9 u M S 9 L R E 0 v Q W F u Z 2 V w Y X N 0 J T I w a X R l b S U y M H R v Z W d l d m 9 l Z 2 Q 0 P C 9 J d G V t U G F 0 a D 4 8 L 0 l 0 Z W 1 M b 2 N h d G l v b j 4 8 U 3 R h Y m x l R W 5 0 c m l l c y A v P j w v S X R l b T 4 8 S X R l b T 4 8 S X R l b U x v Y 2 F 0 a W 9 u P j x J d G V t V H l w Z T 5 G b 3 J t d W x h P C 9 J d G V t V H l w Z T 4 8 S X R l b V B h d G g + U 2 V j d G l v b j E v S 0 R N L 1 Z v b 3 J 3 Y W F y Z G V s a W p r Z S U y M G t v b G 9 t J T I w a W 5 n Z X Z v Z W d k N D w v S X R l b V B h d G g + P C 9 J d G V t T G 9 j Y X R p b 2 4 + P F N 0 Y W J s Z U V u d H J p Z X M g L z 4 8 L 0 l 0 Z W 0 + P E l 0 Z W 0 + P E l 0 Z W 1 M b 2 N h d G l v b j 4 8 S X R l b V R 5 c G U + R m 9 y b X V s Y T w v S X R l b V R 5 c G U + P E l 0 Z W 1 Q Y X R o P l N l Y 3 R p b 2 4 x L 0 t E T S 9 B Y W 5 n Z X B h c 3 Q l M j B p d G V t J T I w d G 9 l Z 2 V 2 b 2 V n Z D U 8 L 0 l 0 Z W 1 Q Y X R o P j w v S X R l b U x v Y 2 F 0 a W 9 u P j x T d G F i b G V F b n R y a W V z I C 8 + P C 9 J d G V t P j x J d G V t P j x J d G V t T G 9 j Y X R p b 2 4 + P E l 0 Z W 1 U e X B l P k Z v c m 1 1 b G E 8 L 0 l 0 Z W 1 U e X B l P j x J d G V t U G F 0 a D 5 T Z W N 0 a W 9 u M S 9 L R E 0 v V m 9 v c n d h Y X J k Z W x p a m t l J T I w a 2 9 s b 2 0 l M j B p b m d l d m 9 l Z 2 Q 1 P C 9 J d G V t U G F 0 a D 4 8 L 0 l 0 Z W 1 M b 2 N h d G l v b j 4 8 U 3 R h Y m x l R W 5 0 c m l l c y A v P j w v S X R l b T 4 8 S X R l b T 4 8 S X R l b U x v Y 2 F 0 a W 9 u P j x J d G V t V H l w Z T 5 G b 3 J t d W x h P C 9 J d G V t V H l w Z T 4 8 S X R l b V B h d G g + U 2 V j d G l v b j E v S 0 R N L 0 F h b m d l c G F z d C U y M G l 0 Z W 0 l M j B 0 b 2 V n Z X Z v Z W d k N j w v S X R l b V B h d G g + P C 9 J d G V t T G 9 j Y X R p b 2 4 + P F N 0 Y W J s Z U V u d H J p Z X M g L z 4 8 L 0 l 0 Z W 0 + P E l 0 Z W 0 + P E l 0 Z W 1 M b 2 N h d G l v b j 4 8 S X R l b V R 5 c G U + R m 9 y b X V s Y T w v S X R l b V R 5 c G U + P E l 0 Z W 1 Q Y X R o P l N l Y 3 R p b 2 4 x L 0 t E T S 9 W b 2 9 y d 2 F h c m R l b G l q a 2 U l M j B r b 2 x v b S U y M G l u Z 2 V 2 b 2 V n Z D Y 8 L 0 l 0 Z W 1 Q Y X R o P j w v S X R l b U x v Y 2 F 0 a W 9 u P j x T d G F i b G V F b n R y a W V z I C 8 + P C 9 J d G V t P j x J d G V t P j x J d G V t T G 9 j Y X R p b 2 4 + P E l 0 Z W 1 U e X B l P k Z v c m 1 1 b G E 8 L 0 l 0 Z W 1 U e X B l P j x J d G V t U G F 0 a D 5 T Z W N 0 a W 9 u M S 9 L R E 0 v Q W F u Z 2 V w Y X N 0 J T I w a X R l b S U y M H R v Z W d l d m 9 l Z 2 Q 3 P C 9 J d G V t U G F 0 a D 4 8 L 0 l 0 Z W 1 M b 2 N h d G l v b j 4 8 U 3 R h Y m x l R W 5 0 c m l l c y A v P j w v S X R l b T 4 8 S X R l b T 4 8 S X R l b U x v Y 2 F 0 a W 9 u P j x J d G V t V H l w Z T 5 G b 3 J t d W x h P C 9 J d G V t V H l w Z T 4 8 S X R l b V B h d G g + U 2 V j d G l v b j E v S 0 R N L 1 Z v b 3 J 3 Y W F y Z G V s a W p r Z S U y M G t v b G 9 t J T I w a W 5 n Z X Z v Z W d k N z w v S X R l b V B h d G g + P C 9 J d G V t T G 9 j Y X R p b 2 4 + P F N 0 Y W J s Z U V u d H J p Z X M g L z 4 8 L 0 l 0 Z W 0 + P E l 0 Z W 0 + P E l 0 Z W 1 M b 2 N h d G l v b j 4 8 S X R l b V R 5 c G U + R m 9 y b X V s Y T w v S X R l b V R 5 c G U + P E l 0 Z W 1 Q Y X R o P l N l Y 3 R p b 2 4 x L 0 t E T S 9 B Y W 5 n Z X B h c 3 Q l M j B p d G V t J T I w d G 9 l Z 2 V 2 b 2 V n Z D g 8 L 0 l 0 Z W 1 Q Y X R o P j w v S X R l b U x v Y 2 F 0 a W 9 u P j x T d G F i b G V F b n R y a W V z I C 8 + P C 9 J d G V t P j x J d G V t P j x J d G V t T G 9 j Y X R p b 2 4 + P E l 0 Z W 1 U e X B l P k Z v c m 1 1 b G E 8 L 0 l 0 Z W 1 U e X B l P j x J d G V t U G F 0 a D 5 T Z W N 0 a W 9 u M S 9 L R E 0 v V m 9 v c n d h Y X J k Z W x p a m t l J T I w a 2 9 s b 2 0 l M j B p b m d l d m 9 l Z 2 Q 4 P C 9 J d G V t U G F 0 a D 4 8 L 0 l 0 Z W 1 M b 2 N h d G l v b j 4 8 U 3 R h Y m x l R W 5 0 c m l l c y A v P j w v S X R l b T 4 8 S X R l b T 4 8 S X R l b U x v Y 2 F 0 a W 9 u P j x J d G V t V H l w Z T 5 G b 3 J t d W x h P C 9 J d G V t V H l w Z T 4 8 S X R l b V B h d G g + U 2 V j d G l v b j E v S 0 R N L 0 F h b m d l c G F z d C U y M G l 0 Z W 0 l M j B 0 b 2 V n Z X Z v Z W d k O T w v S X R l b V B h d G g + P C 9 J d G V t T G 9 j Y X R p b 2 4 + P F N 0 Y W J s Z U V u d H J p Z X M g L z 4 8 L 0 l 0 Z W 0 + P E l 0 Z W 0 + P E l 0 Z W 1 M b 2 N h d G l v b j 4 8 S X R l b V R 5 c G U + R m 9 y b X V s Y T w v S X R l b V R 5 c G U + P E l 0 Z W 1 Q Y X R o P l N l Y 3 R p b 2 4 x L 0 t E T S 9 W b 2 9 y d 2 F h c m R l b G l q a 2 U l M j B r b 2 x v b S U y M G l u Z 2 V 2 b 2 V n Z D k 8 L 0 l 0 Z W 1 Q Y X R o P j w v S X R l b U x v Y 2 F 0 a W 9 u P j x T d G F i b G V F b n R y a W V z I C 8 + P C 9 J d G V t P j x J d G V t P j x J d G V t T G 9 j Y X R p b 2 4 + P E l 0 Z W 1 U e X B l P k Z v c m 1 1 b G E 8 L 0 l 0 Z W 1 U e X B l P j x J d G V t U G F 0 a D 5 T Z W N 0 a W 9 u M S 9 L R E 0 v Q W F u Z 2 V w Y X N 0 J T I w a X R l b S U y M H R v Z W d l d m 9 l Z 2 Q x M D w v S X R l b V B h d G g + P C 9 J d G V t T G 9 j Y X R p b 2 4 + P F N 0 Y W J s Z U V u d H J p Z X M g L z 4 8 L 0 l 0 Z W 0 + P E l 0 Z W 0 + P E l 0 Z W 1 M b 2 N h d G l v b j 4 8 S X R l b V R 5 c G U + R m 9 y b X V s Y T w v S X R l b V R 5 c G U + P E l 0 Z W 1 Q Y X R o P l N l Y 3 R p b 2 4 x L 0 t E T S 9 W b 2 9 y d 2 F h c m R l b G l q a 2 U l M j B r b 2 x v b S U y M G l u Z 2 V 2 b 2 V n Z D E w P C 9 J d G V t U G F 0 a D 4 8 L 0 l 0 Z W 1 M b 2 N h d G l v b j 4 8 U 3 R h Y m x l R W 5 0 c m l l c y A v P j w v S X R l b T 4 8 S X R l b T 4 8 S X R l b U x v Y 2 F 0 a W 9 u P j x J d G V t V H l w Z T 5 G b 3 J t d W x h P C 9 J d G V t V H l w Z T 4 8 S X R l b V B h d G g + U 2 V j d G l v b j E v S 0 R N L 0 F h b m d l c G F z d C U y M G l 0 Z W 0 l M j B 0 b 2 V n Z X Z v Z W d k M T E 8 L 0 l 0 Z W 1 Q Y X R o P j w v S X R l b U x v Y 2 F 0 a W 9 u P j x T d G F i b G V F b n R y a W V z I C 8 + P C 9 J d G V t P j x J d G V t P j x J d G V t T G 9 j Y X R p b 2 4 + P E l 0 Z W 1 U e X B l P k Z v c m 1 1 b G E 8 L 0 l 0 Z W 1 U e X B l P j x J d G V t U G F 0 a D 5 T Z W N 0 a W 9 u M S 9 L R E 0 v V m 9 v c n d h Y X J k Z W x p a m t l J T I w a 2 9 s b 2 0 l M j B p b m d l d m 9 l Z 2 Q x M T w v S X R l b V B h d G g + P C 9 J d G V t T G 9 j Y X R p b 2 4 + P F N 0 Y W J s Z U V u d H J p Z X M g L z 4 8 L 0 l 0 Z W 0 + P E l 0 Z W 0 + P E l 0 Z W 1 M b 2 N h d G l v b j 4 8 S X R l b V R 5 c G U + R m 9 y b X V s Y T w v S X R l b V R 5 c G U + P E l 0 Z W 1 Q Y X R o P l N l Y 3 R p b 2 4 x L 0 t E T S 9 B Y W 5 n Z X B h c 3 Q l M j B p d G V t J T I w d G 9 l Z 2 V 2 b 2 V n Z D E y P C 9 J d G V t U G F 0 a D 4 8 L 0 l 0 Z W 1 M b 2 N h d G l v b j 4 8 U 3 R h Y m x l R W 5 0 c m l l c y A v P j w v S X R l b T 4 8 S X R l b T 4 8 S X R l b U x v Y 2 F 0 a W 9 u P j x J d G V t V H l w Z T 5 G b 3 J t d W x h P C 9 J d G V t V H l w Z T 4 8 S X R l b V B h d G g + U 2 V j d G l v b j E v S 0 R N L 1 Z v b 3 J 3 Y W F y Z G V s a W p r Z S U y M G t v b G 9 t J T I w a W 5 n Z X Z v Z W d k M T I 8 L 0 l 0 Z W 1 Q Y X R o P j w v S X R l b U x v Y 2 F 0 a W 9 u P j x T d G F i b G V F b n R y a W V z I C 8 + P C 9 J d G V t P j x J d G V t P j x J d G V t T G 9 j Y X R p b 2 4 + P E l 0 Z W 1 U e X B l P k Z v c m 1 1 b G E 8 L 0 l 0 Z W 1 U e X B l P j x J d G V t U G F 0 a D 5 T Z W N 0 a W 9 u M S 9 L R E 0 v Q W F u Z 2 V w Y X N 0 J T I w a X R l b S U y M H R v Z W d l d m 9 l Z 2 Q x M z w v S X R l b V B h d G g + P C 9 J d G V t T G 9 j Y X R p b 2 4 + P F N 0 Y W J s Z U V u d H J p Z X M g L z 4 8 L 0 l 0 Z W 0 + P E l 0 Z W 0 + P E l 0 Z W 1 M b 2 N h d G l v b j 4 8 S X R l b V R 5 c G U + R m 9 y b X V s Y T w v S X R l b V R 5 c G U + P E l 0 Z W 1 Q Y X R o P l N l Y 3 R p b 2 4 x L 0 t E T S 9 W b 2 9 y d 2 F h c m R l b G l q a 2 U l M j B r b 2 x v b S U y M G l u Z 2 V 2 b 2 V n Z D E z P C 9 J d G V t U G F 0 a D 4 8 L 0 l 0 Z W 1 M b 2 N h d G l v b j 4 8 U 3 R h Y m x l R W 5 0 c m l l c y A v P j w v S X R l b T 4 8 S X R l b T 4 8 S X R l b U x v Y 2 F 0 a W 9 u P j x J d G V t V H l w Z T 5 G b 3 J t d W x h P C 9 J d G V t V H l w Z T 4 8 S X R l b V B h d G g + U 2 V j d G l v b j E v S 0 R N L 0 F h b m d l c G F z d C U y M G l 0 Z W 0 l M j B 0 b 2 V n Z X Z v Z W d k M T Q 8 L 0 l 0 Z W 1 Q Y X R o P j w v S X R l b U x v Y 2 F 0 a W 9 u P j x T d G F i b G V F b n R y a W V z I C 8 + P C 9 J d G V t P j x J d G V t P j x J d G V t T G 9 j Y X R p b 2 4 + P E l 0 Z W 1 U e X B l P k Z v c m 1 1 b G E 8 L 0 l 0 Z W 1 U e X B l P j x J d G V t U G F 0 a D 5 T Z W N 0 a W 9 u M S 9 L R E 0 v V m 9 v c n d h Y X J k Z W x p a m t l J T I w a 2 9 s b 2 0 l M j B p b m d l d m 9 l Z 2 Q x N D w v S X R l b V B h d G g + P C 9 J d G V t T G 9 j Y X R p b 2 4 + P F N 0 Y W J s Z U V u d H J p Z X M g L z 4 8 L 0 l 0 Z W 0 + P E l 0 Z W 0 + P E l 0 Z W 1 M b 2 N h d G l v b j 4 8 S X R l b V R 5 c G U + R m 9 y b X V s Y T w v S X R l b V R 5 c G U + P E l 0 Z W 1 Q Y X R o P l N l Y 3 R p b 2 4 x L 0 t E T S 9 B Y W 5 n Z X B h c 3 Q l M j B p d G V t J T I w d G 9 l Z 2 V 2 b 2 V n Z D E 1 P C 9 J d G V t U G F 0 a D 4 8 L 0 l 0 Z W 1 M b 2 N h d G l v b j 4 8 U 3 R h Y m x l R W 5 0 c m l l c y A v P j w v S X R l b T 4 8 S X R l b T 4 8 S X R l b U x v Y 2 F 0 a W 9 u P j x J d G V t V H l w Z T 5 G b 3 J t d W x h P C 9 J d G V t V H l w Z T 4 8 S X R l b V B h d G g + U 2 V j d G l v b j E v S 0 R N L 1 Z v b 3 J 3 Y W F y Z G V s a W p r Z S U y M G t v b G 9 t J T I w a W 5 n Z X Z v Z W d k M T U 8 L 0 l 0 Z W 1 Q Y X R o P j w v S X R l b U x v Y 2 F 0 a W 9 u P j x T d G F i b G V F b n R y a W V z I C 8 + P C 9 J d G V t P j x J d G V t P j x J d G V t T G 9 j Y X R p b 2 4 + P E l 0 Z W 1 U e X B l P k Z v c m 1 1 b G E 8 L 0 l 0 Z W 1 U e X B l P j x J d G V t U G F 0 a D 5 T Z W N 0 a W 9 u M S 9 L R E 0 v Q W F u Z 2 V w Y X N 0 J T I w a X R l b S U y M H R v Z W d l d m 9 l Z 2 Q x N j w v S X R l b V B h d G g + P C 9 J d G V t T G 9 j Y X R p b 2 4 + P F N 0 Y W J s Z U V u d H J p Z X M g L z 4 8 L 0 l 0 Z W 0 + P E l 0 Z W 0 + P E l 0 Z W 1 M b 2 N h d G l v b j 4 8 S X R l b V R 5 c G U + R m 9 y b X V s Y T w v S X R l b V R 5 c G U + P E l 0 Z W 1 Q Y X R o P l N l Y 3 R p b 2 4 x L 0 t E T S 9 W b 2 9 y d 2 F h c m R l b G l q a 2 U l M j B r b 2 x v b S U y M G l u Z 2 V 2 b 2 V n Z D E 2 P C 9 J d G V t U G F 0 a D 4 8 L 0 l 0 Z W 1 M b 2 N h d G l v b j 4 8 U 3 R h Y m x l R W 5 0 c m l l c y A v P j w v S X R l b T 4 8 S X R l b T 4 8 S X R l b U x v Y 2 F 0 a W 9 u P j x J d G V t V H l w Z T 5 G b 3 J t d W x h P C 9 J d G V t V H l w Z T 4 8 S X R l b V B h d G g + U 2 V j d G l v b j E v S 0 R N L 0 F h b m d l c G F z d C U y M G l 0 Z W 0 l M j B 0 b 2 V n Z X Z v Z W d k M T c 8 L 0 l 0 Z W 1 Q Y X R o P j w v S X R l b U x v Y 2 F 0 a W 9 u P j x T d G F i b G V F b n R y a W V z I C 8 + P C 9 J d G V t P j x J d G V t P j x J d G V t T G 9 j Y X R p b 2 4 + P E l 0 Z W 1 U e X B l P k Z v c m 1 1 b G E 8 L 0 l 0 Z W 1 U e X B l P j x J d G V t U G F 0 a D 5 T Z W N 0 a W 9 u M S 9 L R E 0 v V m 9 v c n d h Y X J k Z W x p a m t l J T I w a 2 9 s b 2 0 l M j B p b m d l d m 9 l Z 2 Q x N z w v S X R l b V B h d G g + P C 9 J d G V t T G 9 j Y X R p b 2 4 + P F N 0 Y W J s Z U V u d H J p Z X M g L z 4 8 L 0 l 0 Z W 0 + P E l 0 Z W 0 + P E l 0 Z W 1 M b 2 N h d G l v b j 4 8 S X R l b V R 5 c G U + R m 9 y b X V s Y T w v S X R l b V R 5 c G U + P E l 0 Z W 1 Q Y X R o P l N l Y 3 R p b 2 4 x L 0 t E T S 9 B Y W 5 n Z X B h c 3 Q l M j B p d G V t J T I w d G 9 l Z 2 V 2 b 2 V n Z D E 4 P C 9 J d G V t U G F 0 a D 4 8 L 0 l 0 Z W 1 M b 2 N h d G l v b j 4 8 U 3 R h Y m x l R W 5 0 c m l l c y A v P j w v S X R l b T 4 8 S X R l b T 4 8 S X R l b U x v Y 2 F 0 a W 9 u P j x J d G V t V H l w Z T 5 G b 3 J t d W x h P C 9 J d G V t V H l w Z T 4 8 S X R l b V B h d G g + U 2 V j d G l v b j E v S 0 R N L 1 Z v b 3 J 3 Y W F y Z G V s a W p r Z S U y M G t v b G 9 t J T I w a W 5 n Z X Z v Z W d k M T g 8 L 0 l 0 Z W 1 Q Y X R o P j w v S X R l b U x v Y 2 F 0 a W 9 u P j x T d G F i b G V F b n R y a W V z I C 8 + P C 9 J d G V t P j x J d G V t P j x J d G V t T G 9 j Y X R p b 2 4 + P E l 0 Z W 1 U e X B l P k Z v c m 1 1 b G E 8 L 0 l 0 Z W 1 U e X B l P j x J d G V t U G F 0 a D 5 T Z W N 0 a W 9 u M S 9 L R E 0 v Q W F u Z 2 V w Y X N 0 J T I w a X R l b S U y M H R v Z W d l d m 9 l Z 2 Q x O T w v S X R l b V B h d G g + P C 9 J d G V t T G 9 j Y X R p b 2 4 + P F N 0 Y W J s Z U V u d H J p Z X M g L z 4 8 L 0 l 0 Z W 0 + P E l 0 Z W 0 + P E l 0 Z W 1 M b 2 N h d G l v b j 4 8 S X R l b V R 5 c G U + R m 9 y b X V s Y T w v S X R l b V R 5 c G U + P E l 0 Z W 1 Q Y X R o P l N l Y 3 R p b 2 4 x L 0 t E T S 9 W b 2 9 y d 2 F h c m R l b G l q a 2 U l M j B r b 2 x v b S U y M G l u Z 2 V 2 b 2 V n Z D E 5 P C 9 J d G V t U G F 0 a D 4 8 L 0 l 0 Z W 1 M b 2 N h d G l v b j 4 8 U 3 R h Y m x l R W 5 0 c m l l c y A v P j w v S X R l b T 4 8 S X R l b T 4 8 S X R l b U x v Y 2 F 0 a W 9 u P j x J d G V t V H l w Z T 5 G b 3 J t d W x h P C 9 J d G V t V H l w Z T 4 8 S X R l b V B h d G g + U 2 V j d G l v b j E v S 0 R N L 0 F h b m d l c G F z d C U y M G l 0 Z W 0 l M j B 0 b 2 V n Z X Z v Z W d k M j A 8 L 0 l 0 Z W 1 Q Y X R o P j w v S X R l b U x v Y 2 F 0 a W 9 u P j x T d G F i b G V F b n R y a W V z I C 8 + P C 9 J d G V t P j x J d G V t P j x J d G V t T G 9 j Y X R p b 2 4 + P E l 0 Z W 1 U e X B l P k Z v c m 1 1 b G E 8 L 0 l 0 Z W 1 U e X B l P j x J d G V t U G F 0 a D 5 T Z W N 0 a W 9 u M S 9 L R E 0 v Q W F u Z 2 V w Y X N 0 J T I w a X R l b S U y M H R v Z W d l d m 9 l Z 2 Q y M T w v S X R l b V B h d G g + P C 9 J d G V t T G 9 j Y X R p b 2 4 + P F N 0 Y W J s Z U V u d H J p Z X M g L z 4 8 L 0 l 0 Z W 0 + P E l 0 Z W 0 + P E l 0 Z W 1 M b 2 N h d G l v b j 4 8 S X R l b V R 5 c G U + R m 9 y b X V s Y T w v S X R l b V R 5 c G U + P E l 0 Z W 1 Q Y X R o P l N l Y 3 R p b 2 4 x L 0 t E T S 9 B Y W 5 n Z X B h c 3 Q l M j B p d G V t J T I w d G 9 l Z 2 V 2 b 2 V n Z D I y P C 9 J d G V t U G F 0 a D 4 8 L 0 l 0 Z W 1 M b 2 N h d G l v b j 4 8 U 3 R h Y m x l R W 5 0 c m l l c y A v P j w v S X R l b T 4 8 S X R l b T 4 8 S X R l b U x v Y 2 F 0 a W 9 u P j x J d G V t V H l w Z T 5 G b 3 J t d W x h P C 9 J d G V t V H l w Z T 4 8 S X R l b V B h d G g + U 2 V j d G l v b j E v S 0 R N L 0 5 h b W V u J T I w d m F u J T I w a 2 9 s b 2 1 t Z W 4 l M j B n Z X d p a n p p Z 2 Q l M j A x P C 9 J d G V t U G F 0 a D 4 8 L 0 l 0 Z W 1 M b 2 N h d G l v b j 4 8 U 3 R h Y m x l R W 5 0 c m l l c y A v P j w v S X R l b T 4 8 S X R l b T 4 8 S X R l b U x v Y 2 F 0 a W 9 u P j x J d G V t V H l w Z T 5 G b 3 J t d W x h P C 9 J d G V t V H l w Z T 4 8 S X R l b V B h d G g + U 2 V j d G l v b j E v S 0 R N L 0 5 h b W V u J T I w d m F u J T I w a 2 9 s b 2 1 t Z W 4 l M j B n Z X d p a n p p Z 2 Q l M j A y P C 9 J d G V t U G F 0 a D 4 8 L 0 l 0 Z W 1 M b 2 N h d G l v b j 4 8 U 3 R h Y m x l R W 5 0 c m l l c y A v P j w v S X R l b T 4 8 S X R l b T 4 8 S X R l b U x v Y 2 F 0 a W 9 u P j x J d G V t V H l w Z T 5 G b 3 J t d W x h P C 9 J d G V t V H l w Z T 4 8 S X R l b V B h d G g + U 2 V j d G l v b j E v S 0 R N L 0 t v b G 9 t b W V u J T I w d m V y d 2 l q Z G V y Z D w v S X R l b V B h d G g + P C 9 J d G V t T G 9 j Y X R p b 2 4 + P F N 0 Y W J s Z U V u d H J p Z X M g L z 4 8 L 0 l 0 Z W 0 + P E l 0 Z W 0 + P E l 0 Z W 1 M b 2 N h d G l v b j 4 8 S X R l b V R 5 c G U + R m 9 y b X V s Y T w v S X R l b V R 5 c G U + P E l 0 Z W 1 Q Y X R o P l N l Y 3 R p b 2 4 x L 0 t E T S 9 L b 2 x v b W 1 l b i U y M H Z l c n d p a m R l c m Q l M j A x P C 9 J d G V t U G F 0 a D 4 8 L 0 l 0 Z W 1 M b 2 N h d G l v b j 4 8 U 3 R h Y m x l R W 5 0 c m l l c y A v P j w v S X R l b T 4 8 S X R l b T 4 8 S X R l b U x v Y 2 F 0 a W 9 u P j x J d G V t V H l w Z T 5 G b 3 J t d W x h P C 9 J d G V t V H l w Z T 4 8 S X R l b V B h d G g + U 2 V j d G l v b j E v S 0 R N L 0 F h b m d l c G F z d C U y M G l 0 Z W 0 l M j B 0 b 2 V n Z X Z v Z W d k M j g 8 L 0 l 0 Z W 1 Q Y X R o P j w v S X R l b U x v Y 2 F 0 a W 9 u P j x T d G F i b G V F b n R y a W V z I C 8 + P C 9 J d G V t P j x J d G V t P j x J d G V t T G 9 j Y X R p b 2 4 + P E l 0 Z W 1 U e X B l P k Z v c m 1 1 b G E 8 L 0 l 0 Z W 1 U e X B l P j x J d G V t U G F 0 a D 5 T Z W N 0 a W 9 u M S 9 L R E 0 v Q W F u Z 2 V w Y X N 0 J T I w a X R l b S U y M H R v Z W d l d m 9 l Z 2 Q y O T w v S X R l b V B h d G g + P C 9 J d G V t T G 9 j Y X R p b 2 4 + P F N 0 Y W J s Z U V u d H J p Z X M g L z 4 8 L 0 l 0 Z W 0 + P E l 0 Z W 0 + P E l 0 Z W 1 M b 2 N h d G l v b j 4 8 S X R l b V R 5 c G U + R m 9 y b X V s Y T w v S X R l b V R 5 c G U + P E l 0 Z W 1 Q Y X R o P l N l Y 3 R p b 2 4 x L 0 t E T S 9 B Y W 5 n Z X B h c 3 Q l M j B p d G V t J T I w d G 9 l Z 2 V 2 b 2 V n Z D M w P C 9 J d G V t U G F 0 a D 4 8 L 0 l 0 Z W 1 M b 2 N h d G l v b j 4 8 U 3 R h Y m x l R W 5 0 c m l l c y A v P j w v S X R l b T 4 8 S X R l b T 4 8 S X R l b U x v Y 2 F 0 a W 9 u P j x J d G V t V H l w Z T 5 G b 3 J t d W x h P C 9 J d G V t V H l w Z T 4 8 S X R l b V B h d G g + U 2 V j d G l v b j E v S 0 R N L 0 F h b m d l c G F z d C U y M G l 0 Z W 0 l M j B 0 b 2 V n Z X Z v Z W d k M z E 8 L 0 l 0 Z W 1 Q Y X R o P j w v S X R l b U x v Y 2 F 0 a W 9 u P j x T d G F i b G V F b n R y a W V z I C 8 + P C 9 J d G V t P j x J d G V t P j x J d G V t T G 9 j Y X R p b 2 4 + P E l 0 Z W 1 U e X B l P k Z v c m 1 1 b G E 8 L 0 l 0 Z W 1 U e X B l P j x J d G V t U G F 0 a D 5 T Z W N 0 a W 9 u M S 9 L R E 0 v Q W F u Z 2 V w Y X N 0 J T I w a X R l b S U y M H R v Z W d l d m 9 l Z 2 Q z M j w v S X R l b V B h d G g + P C 9 J d G V t T G 9 j Y X R p b 2 4 + P F N 0 Y W J s Z U V u d H J p Z X M g L z 4 8 L 0 l 0 Z W 0 + P E l 0 Z W 0 + P E l 0 Z W 1 M b 2 N h d G l v b j 4 8 S X R l b V R 5 c G U + R m 9 y b X V s Y T w v S X R l b V R 5 c G U + P E l 0 Z W 1 Q Y X R o P l N l Y 3 R p b 2 4 x L 0 t E T S 9 B Y W 5 n Z X B h c 3 Q l M j B p d G V t J T I w d G 9 l Z 2 V 2 b 2 V n Z D M z P C 9 J d G V t U G F 0 a D 4 8 L 0 l 0 Z W 1 M b 2 N h d G l v b j 4 8 U 3 R h Y m x l R W 5 0 c m l l c y A v P j w v S X R l b T 4 8 S X R l b T 4 8 S X R l b U x v Y 2 F 0 a W 9 u P j x J d G V t V H l w Z T 5 G b 3 J t d W x h P C 9 J d G V t V H l w Z T 4 8 S X R l b V B h d G g + U 2 V j d G l v b j E v S 0 R N L 0 F h b m d l c G F z d C U y M G l 0 Z W 0 l M j B 0 b 2 V n Z X Z v Z W d k M z Q 8 L 0 l 0 Z W 1 Q Y X R o P j w v S X R l b U x v Y 2 F 0 a W 9 u P j x T d G F i b G V F b n R y a W V z I C 8 + P C 9 J d G V t P j x J d G V t P j x J d G V t T G 9 j Y X R p b 2 4 + P E l 0 Z W 1 U e X B l P k Z v c m 1 1 b G E 8 L 0 l 0 Z W 1 U e X B l P j x J d G V t U G F 0 a D 5 T Z W N 0 a W 9 u M S 9 L R E 0 v Q W F u Z 2 V w Y X N 0 J T I w a X R l b S U y M H R v Z W d l d m 9 l Z 2 Q z N T w v S X R l b V B h d G g + P C 9 J d G V t T G 9 j Y X R p b 2 4 + P F N 0 Y W J s Z U V u d H J p Z X M g L z 4 8 L 0 l 0 Z W 0 + P E l 0 Z W 0 + P E l 0 Z W 1 M b 2 N h d G l v b j 4 8 S X R l b V R 5 c G U + R m 9 y b X V s Y T w v S X R l b V R 5 c G U + P E l 0 Z W 1 Q Y X R o P l N l Y 3 R p b 2 4 x L 0 t E T S 9 B Y W 5 n Z X B h c 3 Q l M j B p d G V t J T I w d G 9 l Z 2 V 2 b 2 V n Z D M 2 P C 9 J d G V t U G F 0 a D 4 8 L 0 l 0 Z W 1 M b 2 N h d G l v b j 4 8 U 3 R h Y m x l R W 5 0 c m l l c y A v P j w v S X R l b T 4 8 S X R l b T 4 8 S X R l b U x v Y 2 F 0 a W 9 u P j x J d G V t V H l w Z T 5 G b 3 J t d W x h P C 9 J d G V t V H l w Z T 4 8 S X R l b V B h d G g + U 2 V j d G l v b j E v S 0 R N L 0 F h b m d l c G F z d C U y M G l 0 Z W 0 l M j B 0 b 2 V n Z X Z v Z W d k M z c 8 L 0 l 0 Z W 1 Q Y X R o P j w v S X R l b U x v Y 2 F 0 a W 9 u P j x T d G F i b G V F b n R y a W V z I C 8 + P C 9 J d G V t P j x J d G V t P j x J d G V t T G 9 j Y X R p b 2 4 + P E l 0 Z W 1 U e X B l P k Z v c m 1 1 b G E 8 L 0 l 0 Z W 1 U e X B l P j x J d G V t U G F 0 a D 5 T Z W N 0 a W 9 u M S 9 L R E 0 v Q W F u Z 2 V w Y X N 0 J T I w a X R l b S U y M H R v Z W d l d m 9 l Z 2 Q z O D w v S X R l b V B h d G g + P C 9 J d G V t T G 9 j Y X R p b 2 4 + P F N 0 Y W J s Z U V u d H J p Z X M g L z 4 8 L 0 l 0 Z W 0 + P E l 0 Z W 0 + P E l 0 Z W 1 M b 2 N h d G l v b j 4 8 S X R l b V R 5 c G U + R m 9 y b X V s Y T w v S X R l b V R 5 c G U + P E l 0 Z W 1 Q Y X R o P l N l Y 3 R p b 2 4 x L 0 t E T S 9 B Y W 5 n Z X B h c 3 Q l M j B p d G V t J T I w d G 9 l Z 2 V 2 b 2 V n Z D M 5 P C 9 J d G V t U G F 0 a D 4 8 L 0 l 0 Z W 1 M b 2 N h d G l v b j 4 8 U 3 R h Y m x l R W 5 0 c m l l c y A v P j w v S X R l b T 4 8 S X R l b T 4 8 S X R l b U x v Y 2 F 0 a W 9 u P j x J d G V t V H l w Z T 5 G b 3 J t d W x h P C 9 J d G V t V H l w Z T 4 8 S X R l b V B h d G g + U 2 V j d G l v b j E v S 0 R N L 0 F h b m d l c G F z d C U y M G l 0 Z W 0 l M j B 0 b 2 V n Z X Z v Z W d k N D A 8 L 0 l 0 Z W 1 Q Y X R o P j w v S X R l b U x v Y 2 F 0 a W 9 u P j x T d G F i b G V F b n R y a W V z I C 8 + P C 9 J d G V t P j x J d G V t P j x J d G V t T G 9 j Y X R p b 2 4 + P E l 0 Z W 1 U e X B l P k Z v c m 1 1 b G E 8 L 0 l 0 Z W 1 U e X B l P j x J d G V t U G F 0 a D 5 T Z W N 0 a W 9 u M S 9 L R E 0 v Q W F u Z 2 V w Y X N 0 J T I w a X R l b S U y M H R v Z W d l d m 9 l Z 2 Q 0 M T w v S X R l b V B h d G g + P C 9 J d G V t T G 9 j Y X R p b 2 4 + P F N 0 Y W J s Z U V u d H J p Z X M g L z 4 8 L 0 l 0 Z W 0 + P E l 0 Z W 0 + P E l 0 Z W 1 M b 2 N h d G l v b j 4 8 S X R l b V R 5 c G U + R m 9 y b X V s Y T w v S X R l b V R 5 c G U + P E l 0 Z W 1 Q Y X R o P l N l Y 3 R p b 2 4 x L 0 t E T S 9 B Y W 5 n Z X B h c 3 Q l M j B p d G V t J T I w d G 9 l Z 2 V 2 b 2 V n Z D Q y P C 9 J d G V t U G F 0 a D 4 8 L 0 l 0 Z W 1 M b 2 N h d G l v b j 4 8 U 3 R h Y m x l R W 5 0 c m l l c y A v P j w v S X R l b T 4 8 S X R l b T 4 8 S X R l b U x v Y 2 F 0 a W 9 u P j x J d G V t V H l w Z T 5 G b 3 J t d W x h P C 9 J d G V t V H l w Z T 4 8 S X R l b V B h d G g + U 2 V j d G l v b j E v S 0 R N L 0 F h b m d l c G F z d C U y M G l 0 Z W 0 l M j B 0 b 2 V n Z X Z v Z W d k N D M 8 L 0 l 0 Z W 1 Q Y X R o P j w v S X R l b U x v Y 2 F 0 a W 9 u P j x T d G F i b G V F b n R y a W V z I C 8 + P C 9 J d G V t P j x J d G V t P j x J d G V t T G 9 j Y X R p b 2 4 + P E l 0 Z W 1 U e X B l P k Z v c m 1 1 b G E 8 L 0 l 0 Z W 1 U e X B l P j x J d G V t U G F 0 a D 5 T Z W N 0 a W 9 u M S 9 L R E 0 v Q W F u Z 2 V w Y X N 0 J T I w a X R l b S U y M H R v Z W d l d m 9 l Z 2 Q 0 N D w v S X R l b V B h d G g + P C 9 J d G V t T G 9 j Y X R p b 2 4 + P F N 0 Y W J s Z U V u d H J p Z X M g L z 4 8 L 0 l 0 Z W 0 + P E l 0 Z W 0 + P E l 0 Z W 1 M b 2 N h d G l v b j 4 8 S X R l b V R 5 c G U + R m 9 y b X V s Y T w v S X R l b V R 5 c G U + P E l 0 Z W 1 Q Y X R o P l N l Y 3 R p b 2 4 x L 0 t E T S 9 B Y W 5 n Z X B h c 3 Q l M j B p d G V t J T I w d G 9 l Z 2 V 2 b 2 V n Z D Q 1 P C 9 J d G V t U G F 0 a D 4 8 L 0 l 0 Z W 1 M b 2 N h d G l v b j 4 8 U 3 R h Y m x l R W 5 0 c m l l c y A v P j w v S X R l b T 4 8 S X R l b T 4 8 S X R l b U x v Y 2 F 0 a W 9 u P j x J d G V t V H l w Z T 5 G b 3 J t d W x h P C 9 J d G V t V H l w Z T 4 8 S X R l b V B h d G g + U 2 V j d G l v b j E v S 0 R N L 0 F h b m d l c G F z d C U y M G l 0 Z W 0 l M j B 0 b 2 V n Z X Z v Z W d k N D Y 8 L 0 l 0 Z W 1 Q Y X R o P j w v S X R l b U x v Y 2 F 0 a W 9 u P j x T d G F i b G V F b n R y a W V z I C 8 + P C 9 J d G V t P j x J d G V t P j x J d G V t T G 9 j Y X R p b 2 4 + P E l 0 Z W 1 U e X B l P k Z v c m 1 1 b G E 8 L 0 l 0 Z W 1 U e X B l P j x J d G V t U G F 0 a D 5 T Z W N 0 a W 9 u M S 9 L R E 0 v Q W F u Z 2 V w Y X N 0 J T I w a X R l b S U y M H R v Z W d l d m 9 l Z 2 Q 0 N z w v S X R l b V B h d G g + P C 9 J d G V t T G 9 j Y X R p b 2 4 + P F N 0 Y W J s Z U V u d H J p Z X M g L z 4 8 L 0 l 0 Z W 0 + P E l 0 Z W 0 + P E l 0 Z W 1 M b 2 N h d G l v b j 4 8 S X R l b V R 5 c G U + R m 9 y b X V s Y T w v S X R l b V R 5 c G U + P E l 0 Z W 1 Q Y X R o P l N l Y 3 R p b 2 4 x L 0 t E T S 9 B Y W 5 n Z X B h c 3 Q l M j B p d G V t J T I w d G 9 l Z 2 V 2 b 2 V n Z D Q 4 P C 9 J d G V t U G F 0 a D 4 8 L 0 l 0 Z W 1 M b 2 N h d G l v b j 4 8 U 3 R h Y m x l R W 5 0 c m l l c y A v P j w v S X R l b T 4 8 S X R l b T 4 8 S X R l b U x v Y 2 F 0 a W 9 u P j x J d G V t V H l w Z T 5 G b 3 J t d W x h P C 9 J d G V t V H l w Z T 4 8 S X R l b V B h d G g + U 2 V j d G l v b j E v S 0 R N L 0 F h b m d l c G F z d C U y M G l 0 Z W 0 l M j B 0 b 2 V n Z X Z v Z W d k N D k 8 L 0 l 0 Z W 1 Q Y X R o P j w v S X R l b U x v Y 2 F 0 a W 9 u P j x T d G F i b G V F b n R y a W V z I C 8 + P C 9 J d G V t P j x J d G V t P j x J d G V t T G 9 j Y X R p b 2 4 + P E l 0 Z W 1 U e X B l P k Z v c m 1 1 b G E 8 L 0 l 0 Z W 1 U e X B l P j x J d G V t U G F 0 a D 5 T Z W N 0 a W 9 u M S 9 L R E 0 v Q W F u Z 2 V w Y X N 0 J T I w a X R l b S U y M H R v Z W d l d m 9 l Z 2 Q 1 M D w v S X R l b V B h d G g + P C 9 J d G V t T G 9 j Y X R p b 2 4 + P F N 0 Y W J s Z U V u d H J p Z X M g L z 4 8 L 0 l 0 Z W 0 + P E l 0 Z W 0 + P E l 0 Z W 1 M b 2 N h d G l v b j 4 8 S X R l b V R 5 c G U + R m 9 y b X V s Y T w v S X R l b V R 5 c G U + P E l 0 Z W 1 Q Y X R o P l N l Y 3 R p b 2 4 x L 0 t E T S 9 B Y W 5 n Z X B h c 3 Q l M j B p d G V t J T I w d G 9 l Z 2 V 2 b 2 V n Z D U x P C 9 J d G V t U G F 0 a D 4 8 L 0 l 0 Z W 1 M b 2 N h d G l v b j 4 8 U 3 R h Y m x l R W 5 0 c m l l c y A v P j w v S X R l b T 4 8 S X R l b T 4 8 S X R l b U x v Y 2 F 0 a W 9 u P j x J d G V t V H l w Z T 5 G b 3 J t d W x h P C 9 J d G V t V H l w Z T 4 8 S X R l b V B h d G g + U 2 V j d G l v b j E v S 0 R N L 0 F h b m d l c G F z d C U y M G l 0 Z W 0 l M j B 0 b 2 V n Z X Z v Z W d k N T I 8 L 0 l 0 Z W 1 Q Y X R o P j w v S X R l b U x v Y 2 F 0 a W 9 u P j x T d G F i b G V F b n R y a W V z I C 8 + P C 9 J d G V t P j x J d G V t P j x J d G V t T G 9 j Y X R p b 2 4 + P E l 0 Z W 1 U e X B l P k Z v c m 1 1 b G E 8 L 0 l 0 Z W 1 U e X B l P j x J d G V t U G F 0 a D 5 T Z W N 0 a W 9 u M S 9 L R E 0 v Q W F u Z 2 V w Y X N 0 J T I w a X R l b S U y M H R v Z W d l d m 9 l Z 2 Q 1 M z w v S X R l b V B h d G g + P C 9 J d G V t T G 9 j Y X R p b 2 4 + P F N 0 Y W J s Z U V u d H J p Z X M g L z 4 8 L 0 l 0 Z W 0 + P E l 0 Z W 0 + P E l 0 Z W 1 M b 2 N h d G l v b j 4 8 S X R l b V R 5 c G U + R m 9 y b X V s Y T w v S X R l b V R 5 c G U + P E l 0 Z W 1 Q Y X R o P l N l Y 3 R p b 2 4 x L 0 t E T S 9 B Y W 5 n Z X B h c 3 Q l M j B p d G V t J T I w d G 9 l Z 2 V 2 b 2 V n Z D U 0 P C 9 J d G V t U G F 0 a D 4 8 L 0 l 0 Z W 1 M b 2 N h d G l v b j 4 8 U 3 R h Y m x l R W 5 0 c m l l c y A v P j w v S X R l b T 4 8 S X R l b T 4 8 S X R l b U x v Y 2 F 0 a W 9 u P j x J d G V t V H l w Z T 5 G b 3 J t d W x h P C 9 J d G V t V H l w Z T 4 8 S X R l b V B h d G g + U 2 V j d G l v b j E v S 0 R N L 0 F h b m d l c G F z d C U y M G l 0 Z W 0 l M j B 0 b 2 V n Z X Z v Z W d k N T U 8 L 0 l 0 Z W 1 Q Y X R o P j w v S X R l b U x v Y 2 F 0 a W 9 u P j x T d G F i b G V F b n R y a W V z I C 8 + P C 9 J d G V t P j x J d G V t P j x J d G V t T G 9 j Y X R p b 2 4 + P E l 0 Z W 1 U e X B l P k Z v c m 1 1 b G E 8 L 0 l 0 Z W 1 U e X B l P j x J d G V t U G F 0 a D 5 T Z W N 0 a W 9 u M S 9 L R E 0 v Q W F u Z 2 V w Y X N 0 J T I w a X R l b S U y M H R v Z W d l d m 9 l Z 2 Q 1 N j w v S X R l b V B h d G g + P C 9 J d G V t T G 9 j Y X R p b 2 4 + P F N 0 Y W J s Z U V u d H J p Z X M g L z 4 8 L 0 l 0 Z W 0 + P E l 0 Z W 0 + P E l 0 Z W 1 M b 2 N h d G l v b j 4 8 S X R l b V R 5 c G U + R m 9 y b X V s Y T w v S X R l b V R 5 c G U + P E l 0 Z W 1 Q Y X R o P l N l Y 3 R p b 2 4 x L 0 t E T S 9 B Y W 5 n Z X B h c 3 Q l M j B p d G V t J T I w d G 9 l Z 2 V 2 b 2 V n Z D U 3 P C 9 J d G V t U G F 0 a D 4 8 L 0 l 0 Z W 1 M b 2 N h d G l v b j 4 8 U 3 R h Y m x l R W 5 0 c m l l c y A v P j w v S X R l b T 4 8 S X R l b T 4 8 S X R l b U x v Y 2 F 0 a W 9 u P j x J d G V t V H l w Z T 5 G b 3 J t d W x h P C 9 J d G V t V H l w Z T 4 8 S X R l b V B h d G g + U 2 V j d G l v b j E v S 0 R N L 1 Z v b 3 J 3 Y W F y Z G V s a W p r Z S U y M G t v b G 9 t J T I w a W 5 n Z X Z v Z W d k M z A 8 L 0 l 0 Z W 1 Q Y X R o P j w v S X R l b U x v Y 2 F 0 a W 9 u P j x T d G F i b G V F b n R y a W V z I C 8 + P C 9 J d G V t P j x J d G V t P j x J d G V t T G 9 j Y X R p b 2 4 + P E l 0 Z W 1 U e X B l P k Z v c m 1 1 b G E 8 L 0 l 0 Z W 1 U e X B l P j x J d G V t U G F 0 a D 5 T Z W N 0 a W 9 u M S 9 L R E 0 v V m 9 v c n d h Y X J k Z W x p a m t l J T I w a 2 9 s b 2 0 l M j B p b m d l d m 9 l Z 2 Q z M T w v S X R l b V B h d G g + P C 9 J d G V t T G 9 j Y X R p b 2 4 + P F N 0 Y W J s Z U V u d H J p Z X M g L z 4 8 L 0 l 0 Z W 0 + P E l 0 Z W 0 + P E l 0 Z W 1 M b 2 N h d G l v b j 4 8 S X R l b V R 5 c G U + R m 9 y b X V s Y T w v S X R l b V R 5 c G U + P E l 0 Z W 1 Q Y X R o P l N l Y 3 R p b 2 4 x L 0 t E T S 9 W b 2 9 y d 2 F h c m R l b G l q a 2 U l M j B r b 2 x v b S U y M G l u Z 2 V 2 b 2 V n Z D M y P C 9 J d G V t U G F 0 a D 4 8 L 0 l 0 Z W 1 M b 2 N h d G l v b j 4 8 U 3 R h Y m x l R W 5 0 c m l l c y A v P j w v S X R l b T 4 8 S X R l b T 4 8 S X R l b U x v Y 2 F 0 a W 9 u P j x J d G V t V H l w Z T 5 G b 3 J t d W x h P C 9 J d G V t V H l w Z T 4 8 S X R l b V B h d G g + U 2 V j d G l v b j E v S 0 R N L 1 Z v b 3 J 3 Y W F y Z G V s a W p r Z S U y M G t v b G 9 t J T I w a W 5 n Z X Z v Z W d k M z M 8 L 0 l 0 Z W 1 Q Y X R o P j w v S X R l b U x v Y 2 F 0 a W 9 u P j x T d G F i b G V F b n R y a W V z I C 8 + P C 9 J d G V t P j x J d G V t P j x J d G V t T G 9 j Y X R p b 2 4 + P E l 0 Z W 1 U e X B l P k Z v c m 1 1 b G E 8 L 0 l 0 Z W 1 U e X B l P j x J d G V t U G F 0 a D 5 T Z W N 0 a W 9 u M S 9 L R E 0 v V m 9 v c n d h Y X J k Z W x p a m t l J T I w a 2 9 s b 2 0 l M j B p b m d l d m 9 l Z 2 Q z N D w v S X R l b V B h d G g + P C 9 J d G V t T G 9 j Y X R p b 2 4 + P F N 0 Y W J s Z U V u d H J p Z X M g L z 4 8 L 0 l 0 Z W 0 + P E l 0 Z W 0 + P E l 0 Z W 1 M b 2 N h d G l v b j 4 8 S X R l b V R 5 c G U + R m 9 y b X V s Y T w v S X R l b V R 5 c G U + P E l 0 Z W 1 Q Y X R o P l N l Y 3 R p b 2 4 x L 0 t E T S 9 W b 2 9 y d 2 F h c m R l b G l q a 2 U l M j B r b 2 x v b S U y M G l u Z 2 V 2 b 2 V n Z D M 1 P C 9 J d G V t U G F 0 a D 4 8 L 0 l 0 Z W 1 M b 2 N h d G l v b j 4 8 U 3 R h Y m x l R W 5 0 c m l l c y A v P j w v S X R l b T 4 8 S X R l b T 4 8 S X R l b U x v Y 2 F 0 a W 9 u P j x J d G V t V H l w Z T 5 G b 3 J t d W x h P C 9 J d G V t V H l w Z T 4 8 S X R l b V B h d G g + U 2 V j d G l v b j E v S 0 R N L 1 Z v b 3 J 3 Y W F y Z G V s a W p r Z S U y M G t v b G 9 t J T I w a W 5 n Z X Z v Z W d k M z Y 8 L 0 l 0 Z W 1 Q Y X R o P j w v S X R l b U x v Y 2 F 0 a W 9 u P j x T d G F i b G V F b n R y a W V z I C 8 + P C 9 J d G V t P j x J d G V t P j x J d G V t T G 9 j Y X R p b 2 4 + P E l 0 Z W 1 U e X B l P k Z v c m 1 1 b G E 8 L 0 l 0 Z W 1 U e X B l P j x J d G V t U G F 0 a D 5 T Z W N 0 a W 9 u M S 9 L R E 0 v V m 9 v c n d h Y X J k Z W x p a m t l J T I w a 2 9 s b 2 0 l M j B p b m d l d m 9 l Z 2 Q z N z w v S X R l b V B h d G g + P C 9 J d G V t T G 9 j Y X R p b 2 4 + P F N 0 Y W J s Z U V u d H J p Z X M g L z 4 8 L 0 l 0 Z W 0 + P E l 0 Z W 0 + P E l 0 Z W 1 M b 2 N h d G l v b j 4 8 S X R l b V R 5 c G U + R m 9 y b X V s Y T w v S X R l b V R 5 c G U + P E l 0 Z W 1 Q Y X R o P l N l Y 3 R p b 2 4 x L 0 t E T S 9 W b 2 9 y d 2 F h c m R l b G l q a 2 U l M j B r b 2 x v b S U y M G l u Z 2 V 2 b 2 V n Z D M 4 P C 9 J d G V t U G F 0 a D 4 8 L 0 l 0 Z W 1 M b 2 N h d G l v b j 4 8 U 3 R h Y m x l R W 5 0 c m l l c y A v P j w v S X R l b T 4 8 S X R l b T 4 8 S X R l b U x v Y 2 F 0 a W 9 u P j x J d G V t V H l w Z T 5 G b 3 J t d W x h P C 9 J d G V t V H l w Z T 4 8 S X R l b V B h d G g + U 2 V j d G l v b j E v S 0 R N L 1 Z v b 3 J 3 Y W F y Z G V s a W p r Z S U y M G t v b G 9 t J T I w a W 5 n Z X Z v Z W d k M z k 8 L 0 l 0 Z W 1 Q Y X R o P j w v S X R l b U x v Y 2 F 0 a W 9 u P j x T d G F i b G V F b n R y a W V z I C 8 + P C 9 J d G V t P j x J d G V t P j x J d G V t T G 9 j Y X R p b 2 4 + P E l 0 Z W 1 U e X B l P k Z v c m 1 1 b G E 8 L 0 l 0 Z W 1 U e X B l P j x J d G V t U G F 0 a D 5 T Z W N 0 a W 9 u M S 9 L R E 0 v V m 9 v c n d h Y X J k Z W x p a m t l J T I w a 2 9 s b 2 0 l M j B p b m d l d m 9 l Z 2 Q 0 M D w v S X R l b V B h d G g + P C 9 J d G V t T G 9 j Y X R p b 2 4 + P F N 0 Y W J s Z U V u d H J p Z X M g L z 4 8 L 0 l 0 Z W 0 + P E l 0 Z W 0 + P E l 0 Z W 1 M b 2 N h d G l v b j 4 8 S X R l b V R 5 c G U + R m 9 y b X V s Y T w v S X R l b V R 5 c G U + P E l 0 Z W 1 Q Y X R o P l N l Y 3 R p b 2 4 x L 0 t E T S 9 W b 2 9 y d 2 F h c m R l b G l q a 2 U l M j B r b 2 x v b S U y M G l u Z 2 V 2 b 2 V n Z D Q x P C 9 J d G V t U G F 0 a D 4 8 L 0 l 0 Z W 1 M b 2 N h d G l v b j 4 8 U 3 R h Y m x l R W 5 0 c m l l c y A v P j w v S X R l b T 4 8 S X R l b T 4 8 S X R l b U x v Y 2 F 0 a W 9 u P j x J d G V t V H l w Z T 5 G b 3 J t d W x h P C 9 J d G V t V H l w Z T 4 8 S X R l b V B h d G g + U 2 V j d G l v b j E v S 0 R N L 1 Z v b 3 J 3 Y W F y Z G V s a W p r Z S U y M G t v b G 9 t J T I w a W 5 n Z X Z v Z W d k N D I 8 L 0 l 0 Z W 1 Q Y X R o P j w v S X R l b U x v Y 2 F 0 a W 9 u P j x T d G F i b G V F b n R y a W V z I C 8 + P C 9 J d G V t P j x J d G V t P j x J d G V t T G 9 j Y X R p b 2 4 + P E l 0 Z W 1 U e X B l P k Z v c m 1 1 b G E 8 L 0 l 0 Z W 1 U e X B l P j x J d G V t U G F 0 a D 5 T Z W N 0 a W 9 u M S 9 L R E 0 v V m 9 v c n d h Y X J k Z W x p a m t l J T I w a 2 9 s b 2 0 l M j B p b m d l d m 9 l Z 2 Q 0 M z w v S X R l b V B h d G g + P C 9 J d G V t T G 9 j Y X R p b 2 4 + P F N 0 Y W J s Z U V u d H J p Z X M g L z 4 8 L 0 l 0 Z W 0 + P E l 0 Z W 0 + P E l 0 Z W 1 M b 2 N h d G l v b j 4 8 S X R l b V R 5 c G U + R m 9 y b X V s Y T w v S X R l b V R 5 c G U + P E l 0 Z W 1 Q Y X R o P l N l Y 3 R p b 2 4 x L 0 t E T S 9 W b 2 9 y d 2 F h c m R l b G l q a 2 U l M j B r b 2 x v b S U y M G l u Z 2 V 2 b 2 V n Z D Q 0 P C 9 J d G V t U G F 0 a D 4 8 L 0 l 0 Z W 1 M b 2 N h d G l v b j 4 8 U 3 R h Y m x l R W 5 0 c m l l c y A v P j w v S X R l b T 4 8 S X R l b T 4 8 S X R l b U x v Y 2 F 0 a W 9 u P j x J d G V t V H l w Z T 5 G b 3 J t d W x h P C 9 J d G V t V H l w Z T 4 8 S X R l b V B h d G g + U 2 V j d G l v b j E v S 0 R N L 1 Z v b 3 J 3 Y W F y Z G V s a W p r Z S U y M G t v b G 9 t J T I w a W 5 n Z X Z v Z W d k N D U 8 L 0 l 0 Z W 1 Q Y X R o P j w v S X R l b U x v Y 2 F 0 a W 9 u P j x T d G F i b G V F b n R y a W V z I C 8 + P C 9 J d G V t P j x J d G V t P j x J d G V t T G 9 j Y X R p b 2 4 + P E l 0 Z W 1 U e X B l P k Z v c m 1 1 b G E 8 L 0 l 0 Z W 1 U e X B l P j x J d G V t U G F 0 a D 5 T Z W N 0 a W 9 u M S 9 L R E 0 v V m 9 v c n d h Y X J k Z W x p a m t l J T I w a 2 9 s b 2 0 l M j B p b m d l d m 9 l Z 2 Q 0 N j w v S X R l b V B h d G g + P C 9 J d G V t T G 9 j Y X R p b 2 4 + P F N 0 Y W J s Z U V u d H J p Z X M g L z 4 8 L 0 l 0 Z W 0 + P E l 0 Z W 0 + P E l 0 Z W 1 M b 2 N h d G l v b j 4 8 S X R l b V R 5 c G U + R m 9 y b X V s Y T w v S X R l b V R 5 c G U + P E l 0 Z W 1 Q Y X R o P l N l Y 3 R p b 2 4 x L 0 t E T S 9 W b 2 9 y d 2 F h c m R l b G l q a 2 U l M j B r b 2 x v b S U y M G l u Z 2 V 2 b 2 V n Z D Q 3 P C 9 J d G V t U G F 0 a D 4 8 L 0 l 0 Z W 1 M b 2 N h d G l v b j 4 8 U 3 R h Y m x l R W 5 0 c m l l c y A v P j w v S X R l b T 4 8 S X R l b T 4 8 S X R l b U x v Y 2 F 0 a W 9 u P j x J d G V t V H l w Z T 5 G b 3 J t d W x h P C 9 J d G V t V H l w Z T 4 8 S X R l b V B h d G g + U 2 V j d G l v b j E v S 0 R N L 1 Z v b 3 J 3 Y W F y Z G V s a W p r Z S U y M G t v b G 9 t J T I w a W 5 n Z X Z v Z W d k N D g 8 L 0 l 0 Z W 1 Q Y X R o P j w v S X R l b U x v Y 2 F 0 a W 9 u P j x T d G F i b G V F b n R y a W V z I C 8 + P C 9 J d G V t P j x J d G V t P j x J d G V t T G 9 j Y X R p b 2 4 + P E l 0 Z W 1 U e X B l P k Z v c m 1 1 b G E 8 L 0 l 0 Z W 1 U e X B l P j x J d G V t U G F 0 a D 5 T Z W N 0 a W 9 u M S 9 L R E 0 v V m 9 v c n d h Y X J k Z W x p a m t l J T I w a 2 9 s b 2 0 l M j B p b m d l d m 9 l Z 2 Q 0 O T w v S X R l b V B h d G g + P C 9 J d G V t T G 9 j Y X R p b 2 4 + P F N 0 Y W J s Z U V u d H J p Z X M g L z 4 8 L 0 l 0 Z W 0 + P E l 0 Z W 0 + P E l 0 Z W 1 M b 2 N h d G l v b j 4 8 S X R l b V R 5 c G U + R m 9 y b X V s Y T w v S X R l b V R 5 c G U + P E l 0 Z W 1 Q Y X R o P l N l Y 3 R p b 2 4 x L 0 t E T S 9 W b 2 9 y d 2 F h c m R l b G l q a 2 U l M j B r b 2 x v b S U y M G l u Z 2 V 2 b 2 V n Z D U w P C 9 J d G V t U G F 0 a D 4 8 L 0 l 0 Z W 1 M b 2 N h d G l v b j 4 8 U 3 R h Y m x l R W 5 0 c m l l c y A v P j w v S X R l b T 4 8 S X R l b T 4 8 S X R l b U x v Y 2 F 0 a W 9 u P j x J d G V t V H l w Z T 5 G b 3 J t d W x h P C 9 J d G V t V H l w Z T 4 8 S X R l b V B h d G g + U 2 V j d G l v b j E v S 0 R N L 1 Z v b 3 J 3 Y W F y Z G V s a W p r Z S U y M G t v b G 9 t J T I w a W 5 n Z X Z v Z W d k N T E 8 L 0 l 0 Z W 1 Q Y X R o P j w v S X R l b U x v Y 2 F 0 a W 9 u P j x T d G F i b G V F b n R y a W V z I C 8 + P C 9 J d G V t P j x J d G V t P j x J d G V t T G 9 j Y X R p b 2 4 + P E l 0 Z W 1 U e X B l P k Z v c m 1 1 b G E 8 L 0 l 0 Z W 1 U e X B l P j x J d G V t U G F 0 a D 5 T Z W N 0 a W 9 u M S 9 L R E 0 v V m 9 v c n d h Y X J k Z W x p a m t l J T I w a 2 9 s b 2 0 l M j B p b m d l d m 9 l Z 2 Q 1 M j w v S X R l b V B h d G g + P C 9 J d G V t T G 9 j Y X R p b 2 4 + P F N 0 Y W J s Z U V u d H J p Z X M g L z 4 8 L 0 l 0 Z W 0 + P E l 0 Z W 0 + P E l 0 Z W 1 M b 2 N h d G l v b j 4 8 S X R l b V R 5 c G U + R m 9 y b X V s Y T w v S X R l b V R 5 c G U + P E l 0 Z W 1 Q Y X R o P l N l Y 3 R p b 2 4 x L 0 t E T S 9 W b 2 9 y d 2 F h c m R l b G l q a 2 U l M j B r b 2 x v b S U y M G l u Z 2 V 2 b 2 V n Z D U z P C 9 J d G V t U G F 0 a D 4 8 L 0 l 0 Z W 1 M b 2 N h d G l v b j 4 8 U 3 R h Y m x l R W 5 0 c m l l c y A v P j w v S X R l b T 4 8 S X R l b T 4 8 S X R l b U x v Y 2 F 0 a W 9 u P j x J d G V t V H l w Z T 5 G b 3 J t d W x h P C 9 J d G V t V H l w Z T 4 8 S X R l b V B h d G g + U 2 V j d G l v b j E v S 0 R N L 1 Z v b 3 J 3 Y W F y Z G V s a W p r Z S U y M G t v b G 9 t J T I w a W 5 n Z X Z v Z W d k N T Q 8 L 0 l 0 Z W 1 Q Y X R o P j w v S X R l b U x v Y 2 F 0 a W 9 u P j x T d G F i b G V F b n R y a W V z I C 8 + P C 9 J d G V t P j x J d G V t P j x J d G V t T G 9 j Y X R p b 2 4 + P E l 0 Z W 1 U e X B l P k Z v c m 1 1 b G E 8 L 0 l 0 Z W 1 U e X B l P j x J d G V t U G F 0 a D 5 T Z W N 0 a W 9 u M S 9 L R E 0 v V m 9 v c n d h Y X J k Z W x p a m t l J T I w a 2 9 s b 2 0 l M j B p b m d l d m 9 l Z 2 Q 1 N T w v S X R l b V B h d G g + P C 9 J d G V t T G 9 j Y X R p b 2 4 + P F N 0 Y W J s Z U V u d H J p Z X M g L z 4 8 L 0 l 0 Z W 0 + P E l 0 Z W 0 + P E l 0 Z W 1 M b 2 N h d G l v b j 4 8 S X R l b V R 5 c G U + R m 9 y b X V s Y T w v S X R l b V R 5 c G U + P E l 0 Z W 1 Q Y X R o P l N l Y 3 R p b 2 4 x L 0 t E T S 9 W b 2 9 y d 2 F h c m R l b G l q a 2 U l M j B r b 2 x v b S U y M G l u Z 2 V 2 b 2 V n Z D U 2 P C 9 J d G V t U G F 0 a D 4 8 L 0 l 0 Z W 1 M b 2 N h d G l v b j 4 8 U 3 R h Y m x l R W 5 0 c m l l c y A v P j w v S X R l b T 4 8 S X R l b T 4 8 S X R l b U x v Y 2 F 0 a W 9 u P j x J d G V t V H l w Z T 5 G b 3 J t d W x h P C 9 J d G V t V H l w Z T 4 8 S X R l b V B h d G g + U 2 V j d G l v b j E v S 0 R N L 1 Z v b 3 J 3 Y W F y Z G V s a W p r Z S U y M G t v b G 9 t J T I w a W 5 n Z X Z v Z W d k N T c 8 L 0 l 0 Z W 1 Q Y X R o P j w v S X R l b U x v Y 2 F 0 a W 9 u P j x T d G F i b G V F b n R y a W V z I C 8 + P C 9 J d G V t P j x J d G V t P j x J d G V t T G 9 j Y X R p b 2 4 + P E l 0 Z W 1 U e X B l P k Z v c m 1 1 b G E 8 L 0 l 0 Z W 1 U e X B l P j x J d G V t U G F 0 a D 5 T Z W N 0 a W 9 u M S 9 L R E 0 v V m 9 v c n d h Y X J k Z W x p a m t l J T I w a 2 9 s b 2 0 l M j B p b m d l d m 9 l Z 2 Q 1 O D w v S X R l b V B h d G g + P C 9 J d G V t T G 9 j Y X R p b 2 4 + P F N 0 Y W J s Z U V u d H J p Z X M g L z 4 8 L 0 l 0 Z W 0 + P E l 0 Z W 0 + P E l 0 Z W 1 M b 2 N h d G l v b j 4 8 S X R l b V R 5 c G U + R m 9 y b X V s Y T w v S X R l b V R 5 c G U + P E l 0 Z W 1 Q Y X R o P l N l Y 3 R p b 2 4 x L 0 t E T S 9 W b 2 9 y d 2 F h c m R l b G l q a 2 U l M j B r b 2 x v b S U y M G l u Z 2 V 2 b 2 V n Z D U 5 P C 9 J d G V t U G F 0 a D 4 8 L 0 l 0 Z W 1 M b 2 N h d G l v b j 4 8 U 3 R h Y m x l R W 5 0 c m l l c y A v P j w v S X R l b T 4 8 S X R l b T 4 8 S X R l b U x v Y 2 F 0 a W 9 u P j x J d G V t V H l w Z T 5 G b 3 J t d W x h P C 9 J d G V t V H l w Z T 4 8 S X R l b V B h d G g + U 2 V j d G l v b j E v S 0 R N L 0 F h b m d l c G F z d C U y M G l 0 Z W 0 l M j B 0 b 2 V n Z X Z v Z W d k J T I w M T w v S X R l b V B h d G g + P C 9 J d G V t T G 9 j Y X R p b 2 4 + P F N 0 Y W J s Z U V u d H J p Z X M g L z 4 8 L 0 l 0 Z W 0 + P E l 0 Z W 0 + P E l 0 Z W 1 M b 2 N h d G l v b j 4 8 S X R l b V R 5 c G U + R m 9 y b X V s Y T w v S X R l b V R 5 c G U + P E l 0 Z W 1 Q Y X R o P l N l Y 3 R p b 2 4 x L 0 t E T S 9 B Y W 5 n Z X B h c 3 Q l M j B p d G V t J T I w d G 9 l Z 2 V 2 b 2 V n Z C U y M D I 8 L 0 l 0 Z W 1 Q Y X R o P j w v S X R l b U x v Y 2 F 0 a W 9 u P j x T d G F i b G V F b n R y a W V z I C 8 + P C 9 J d G V t P j x J d G V t P j x J d G V t T G 9 j Y X R p b 2 4 + P E l 0 Z W 1 U e X B l P k Z v c m 1 1 b G E 8 L 0 l 0 Z W 1 U e X B l P j x J d G V t U G F 0 a D 5 T Z W N 0 a W 9 u M S 9 L R E 0 v Q W F u Z 2 V w Y X N 0 J T I w a X R l b S U y M H R v Z W d l d m 9 l Z 2 Q l M j A z P C 9 J d G V t U G F 0 a D 4 8 L 0 l 0 Z W 1 M b 2 N h d G l v b j 4 8 U 3 R h Y m x l R W 5 0 c m l l c y A v P j w v S X R l b T 4 8 S X R l b T 4 8 S X R l b U x v Y 2 F 0 a W 9 u P j x J d G V t V H l w Z T 5 G b 3 J t d W x h P C 9 J d G V t V H l w Z T 4 8 S X R l b V B h d G g + U 2 V j d G l v b j E v S 0 R N L 0 F h b m d l c G F z d C U y M G l 0 Z W 0 l M j B 0 b 2 V n Z X Z v Z W d k J T I w N D w v S X R l b V B h d G g + P C 9 J d G V t T G 9 j Y X R p b 2 4 + P F N 0 Y W J s Z U V u d H J p Z X M g L z 4 8 L 0 l 0 Z W 0 + P E l 0 Z W 0 + P E l 0 Z W 1 M b 2 N h d G l v b j 4 8 S X R l b V R 5 c G U + R m 9 y b X V s Y T w v S X R l b V R 5 c G U + P E l 0 Z W 1 Q Y X R o P l N l Y 3 R p b 2 4 x L 0 t E T S 9 L b 2 x v b W 1 l b i U y M H Z l c n d p a m R l c m Q l M j A y P C 9 J d G V t U G F 0 a D 4 8 L 0 l 0 Z W 1 M b 2 N h d G l v b j 4 8 U 3 R h Y m x l R W 5 0 c m l l c y A v P j w v S X R l b T 4 8 S X R l b T 4 8 S X R l b U x v Y 2 F 0 a W 9 u P j x J d G V t V H l w Z T 5 G b 3 J t d W x h P C 9 J d G V t V H l w Z T 4 8 S X R l b V B h d G g + U 2 V j d G l v b j E v S 0 R N L 0 5 h b W V u J T I w d m F u J T I w a 2 9 s b 2 1 t Z W 4 l M j B n Z X d p a n p p Z 2 Q l M j A 4 P C 9 J d G V t U G F 0 a D 4 8 L 0 l 0 Z W 1 M b 2 N h d G l v b j 4 8 U 3 R h Y m x l R W 5 0 c m l l c y A v P j w v S X R l b T 4 8 S X R l b T 4 8 S X R l b U x v Y 2 F 0 a W 9 u P j x J d G V t V H l w Z T 5 G b 3 J t d W x h P C 9 J d G V t V H l w Z T 4 8 S X R l b V B h d G g + U 2 V j d G l v b j E v S 0 R N L 1 d h Y X J k Z S U y M G l z J T I w d m V y d m F u Z 2 V u P C 9 J d G V t U G F 0 a D 4 8 L 0 l 0 Z W 1 M b 2 N h d G l v b j 4 8 U 3 R h Y m x l R W 5 0 c m l l c y A v P j w v S X R l b T 4 8 S X R l b T 4 8 S X R l b U x v Y 2 F 0 a W 9 u P j x J d G V t V H l w Z T 5 G b 3 J t d W x h P C 9 J d G V t V H l w Z T 4 8 S X R l b V B h d G g + U 2 V j d G l v b j E v S 0 R N L 1 d h Y X J k Z S U y M G l z J T I w d m V y d m F u Z 2 V u J T I w O T w v S X R l b V B h d G g + P C 9 J d G V t T G 9 j Y X R p b 2 4 + P F N 0 Y W J s Z U V u d H J p Z X M g L z 4 8 L 0 l 0 Z W 0 + P E l 0 Z W 0 + P E l 0 Z W 1 M b 2 N h d G l v b j 4 8 S X R l b V R 5 c G U + R m 9 y b X V s Y T w v S X R l b V R 5 c G U + P E l 0 Z W 1 Q Y X R o P l N l Y 3 R p b 2 4 x L 0 t E T S 9 L b 2 x v b S U y M H N w b G l 0 c 2 V u J T I w b 3 A l M j B z Y 2 h l a W R p b m d z d G V r Z W 4 8 L 0 l 0 Z W 1 Q Y X R o P j w v S X R l b U x v Y 2 F 0 a W 9 u P j x T d G F i b G V F b n R y a W V z I C 8 + P C 9 J d G V t P j x J d G V t P j x J d G V t T G 9 j Y X R p b 2 4 + P E l 0 Z W 1 U e X B l P k Z v c m 1 1 b G E 8 L 0 l 0 Z W 1 U e X B l P j x J d G V t U G F 0 a D 5 T Z W N 0 a W 9 u M S 9 L R E 0 v V 2 F h c m R l J T I w a X M l M j B 2 Z X J 2 Y W 5 n Z W 4 l M j A x P C 9 J d G V t U G F 0 a D 4 8 L 0 l 0 Z W 1 M b 2 N h d G l v b j 4 8 U 3 R h Y m x l R W 5 0 c m l l c y A v P j w v S X R l b T 4 8 S X R l b T 4 8 S X R l b U x v Y 2 F 0 a W 9 u P j x J d G V t V H l w Z T 5 G b 3 J t d W x h P C 9 J d G V t V H l w Z T 4 8 S X R l b V B h d G g + U 2 V j d G l v b j E v S 0 R N L 1 d h Y X J k Z S U y M G l z J T I w d m V y d m F u Z 2 V u J T I w M j w v S X R l b V B h d G g + P C 9 J d G V t T G 9 j Y X R p b 2 4 + P F N 0 Y W J s Z U V u d H J p Z X M g L z 4 8 L 0 l 0 Z W 0 + P E l 0 Z W 0 + P E l 0 Z W 1 M b 2 N h d G l v b j 4 8 S X R l b V R 5 c G U + R m 9 y b X V s Y T w v S X R l b V R 5 c G U + P E l 0 Z W 1 Q Y X R o P l N l Y 3 R p b 2 4 x L 0 t E T S 9 O Y W 1 l b i U y M H Z h b i U y M G t v b G 9 t b W V u J T I w Z 2 V 3 a W p 6 a W d k P C 9 J d G V t U G F 0 a D 4 8 L 0 l 0 Z W 1 M b 2 N h d G l v b j 4 8 U 3 R h Y m x l R W 5 0 c m l l c y A v P j w v S X R l b T 4 8 S X R l b T 4 8 S X R l b U x v Y 2 F 0 a W 9 u P j x J d G V t V H l w Z T 5 G b 3 J t d W x h P C 9 J d G V t V H l w Z T 4 8 S X R l b V B h d G g + U 2 V j d G l v b j E v S 0 R N L 0 5 h b W V u J T I w d m F u J T I w a 2 9 s b 2 1 t Z W 4 l M j B n Z X d p a n p p Z 2 Q l M j A z P C 9 J d G V t U G F 0 a D 4 8 L 0 l 0 Z W 1 M b 2 N h d G l v b j 4 8 U 3 R h Y m x l R W 5 0 c m l l c y A v P j w v S X R l b T 4 8 S X R l b T 4 8 S X R l b U x v Y 2 F 0 a W 9 u P j x J d G V t V H l w Z T 5 G b 3 J t d W x h P C 9 J d G V t V H l w Z T 4 8 S X R l b V B h d G g + U 2 V j d G l v b j E v S 0 R N L 1 d h Y X J k Z S U y M G l z J T I w d m V y d m F u Z 2 V u J T I w M z w v S X R l b V B h d G g + P C 9 J d G V t T G 9 j Y X R p b 2 4 + P F N 0 Y W J s Z U V u d H J p Z X M g L z 4 8 L 0 l 0 Z W 0 + P E l 0 Z W 0 + P E l 0 Z W 1 M b 2 N h d G l v b j 4 8 S X R l b V R 5 c G U + R m 9 y b X V s Y T w v S X R l b V R 5 c G U + P E l 0 Z W 1 Q Y X R o P l N l Y 3 R p b 2 4 x L 0 t E T S 9 X Y W F y Z G U l M j B p c y U y M H Z l c n Z h b m d l b i U y M D Q 8 L 0 l 0 Z W 1 Q Y X R o P j w v S X R l b U x v Y 2 F 0 a W 9 u P j x T d G F i b G V F b n R y a W V z I C 8 + P C 9 J d G V t P j x J d G V t P j x J d G V t T G 9 j Y X R p b 2 4 + P E l 0 Z W 1 U e X B l P k Z v c m 1 1 b G E 8 L 0 l 0 Z W 1 U e X B l P j x J d G V t U G F 0 a D 5 T Z W N 0 a W 9 u M S 9 L R E 0 v T m F t Z W 4 l M j B 2 Y W 4 l M j B r b 2 x v b W 1 l b i U y M G d l d 2 l q e m l n Z C U y M D Q 8 L 0 l 0 Z W 1 Q Y X R o P j w v S X R l b U x v Y 2 F 0 a W 9 u P j x T d G F i b G V F b n R y a W V z I C 8 + P C 9 J d G V t P j x J d G V t P j x J d G V t T G 9 j Y X R p b 2 4 + P E l 0 Z W 1 U e X B l P k Z v c m 1 1 b G E 8 L 0 l 0 Z W 1 U e X B l P j x J d G V t U G F 0 a D 5 T Z W N 0 a W 9 u M S 9 L R E 0 v T m F t Z W 4 l M j B 2 Y W 4 l M j B r b 2 x v b W 1 l b i U y M G d l d 2 l q e m l n Z C U y M D U 8 L 0 l 0 Z W 1 Q Y X R o P j w v S X R l b U x v Y 2 F 0 a W 9 u P j x T d G F i b G V F b n R y a W V z I C 8 + P C 9 J d G V t P j x J d G V t P j x J d G V t T G 9 j Y X R p b 2 4 + P E l 0 Z W 1 U e X B l P k Z v c m 1 1 b G E 8 L 0 l 0 Z W 1 U e X B l P j x J d G V t U G F 0 a D 5 T Z W N 0 a W 9 u M S 9 L R E 0 v S 2 9 s b 2 1 t Z W 4 l M j B z Y W 1 l b m d l d m 9 l Z 2 Q 8 L 0 l 0 Z W 1 Q Y X R o P j w v S X R l b U x v Y 2 F 0 a W 9 u P j x T d G F i b G V F b n R y a W V z I C 8 + P C 9 J d G V t P j x J d G V t P j x J d G V t T G 9 j Y X R p b 2 4 + P E l 0 Z W 1 U e X B l P k Z v c m 1 1 b G E 8 L 0 l 0 Z W 1 U e X B l P j x J d G V t U G F 0 a D 5 T Z W N 0 a W 9 u M S 9 L R E 0 v S 2 9 s b 2 1 t Z W 4 l M j B z Y W 1 l b m d l d m 9 l Z 2 Q l M j A x P C 9 J d G V t U G F 0 a D 4 8 L 0 l 0 Z W 1 M b 2 N h d G l v b j 4 8 U 3 R h Y m x l R W 5 0 c m l l c y A v P j w v S X R l b T 4 8 S X R l b T 4 8 S X R l b U x v Y 2 F 0 a W 9 u P j x J d G V t V H l w Z T 5 G b 3 J t d W x h P C 9 J d G V t V H l w Z T 4 8 S X R l b V B h d G g + U 2 V j d G l v b j E v S 0 R N L 0 t v b G 9 t b W V u J T I w c 2 F t Z W 5 n Z X Z v Z W d k J T I w M j w v S X R l b V B h d G g + P C 9 J d G V t T G 9 j Y X R p b 2 4 + P F N 0 Y W J s Z U V u d H J p Z X M g L z 4 8 L 0 l 0 Z W 0 + P E l 0 Z W 0 + P E l 0 Z W 1 M b 2 N h d G l v b j 4 8 S X R l b V R 5 c G U + R m 9 y b X V s Y T w v S X R l b V R 5 c G U + P E l 0 Z W 1 Q Y X R o P l N l Y 3 R p b 2 4 x L 0 t E T S 9 O Y W 1 l b i U y M H Z h b i U y M G t v b G 9 t b W V u J T I w Z 2 V 3 a W p 6 a W d k J T I w N j w v S X R l b V B h d G g + P C 9 J d G V t T G 9 j Y X R p b 2 4 + P F N 0 Y W J s Z U V u d H J p Z X M g L z 4 8 L 0 l 0 Z W 0 + P E l 0 Z W 0 + P E l 0 Z W 1 M b 2 N h d G l v b j 4 8 S X R l b V R 5 c G U + R m 9 y b X V s Y T w v S X R l b V R 5 c G U + P E l 0 Z W 1 Q Y X R o P l N l Y 3 R p b 2 4 x L 0 t E T S 9 O Y W 1 l b i U y M H Z h b i U y M G t v b G 9 t b W V u J T I w Z 2 V 3 a W p 6 a W d k J T I w N z w v S X R l b V B h d G g + P C 9 J d G V t T G 9 j Y X R p b 2 4 + P F N 0 Y W J s Z U V u d H J p Z X M g L z 4 8 L 0 l 0 Z W 0 + P E l 0 Z W 0 + P E l 0 Z W 1 M b 2 N h d G l v b j 4 8 S X R l b V R 5 c G U + R m 9 y b X V s Y T w v S X R l b V R 5 c G U + P E l 0 Z W 1 Q Y X R o P l N l Y 3 R p b 2 4 x L 0 t E T S 9 X Y W F y Z G U l M j B p c y U y M H Z l c n Z h b m d l b i U y M D c 8 L 0 l 0 Z W 1 Q Y X R o P j w v S X R l b U x v Y 2 F 0 a W 9 u P j x T d G F i b G V F b n R y a W V z I C 8 + P C 9 J d G V t P j x J d G V t P j x J d G V t T G 9 j Y X R p b 2 4 + P E l 0 Z W 1 U e X B l P k Z v c m 1 1 b G E 8 L 0 l 0 Z W 1 U e X B l P j x J d G V t U G F 0 a D 5 T Z W N 0 a W 9 u M S 9 L R E 0 v V 2 F h c m R l J T I w a X M l M j B 2 Z X J 2 Y W 5 n Z W 4 l M j A 4 P C 9 J d G V t U G F 0 a D 4 8 L 0 l 0 Z W 1 M b 2 N h d G l v b j 4 8 U 3 R h Y m x l R W 5 0 c m l l c y A v P j w v S X R l b T 4 8 S X R l b T 4 8 S X R l b U x v Y 2 F 0 a W 9 u P j x J d G V t V H l w Z T 5 G b 3 J t d W x h P C 9 J d G V t V H l w Z T 4 8 S X R l b V B h d G g + U 2 V j d G l v b j E v S 0 R N L 1 Z v b G d v c m R l J T I w d m F u J T I w a 2 9 s b 2 1 t Z W 4 l M j B n Z X d p a n p p Z 2 Q 8 L 0 l 0 Z W 1 Q Y X R o P j w v S X R l b U x v Y 2 F 0 a W 9 u P j x T d G F i b G V F b n R y a W V z I C 8 + P C 9 J d G V t P j x J d G V t P j x J d G V t T G 9 j Y X R p b 2 4 + P E l 0 Z W 1 U e X B l P k Z v c m 1 1 b G E 8 L 0 l 0 Z W 1 U e X B l P j x J d G V t U G F 0 a D 5 T Z W N 0 a W 9 u M S 9 L R E 0 v T m F t Z W 4 l M j B 2 Y W 4 l M j B r b 2 x v b W 1 l b i U y M G d l d 2 l q e m l n Z C U y M D k 8 L 0 l 0 Z W 1 Q Y X R o P j w v S X R l b U x v Y 2 F 0 a W 9 u P j x T d G F i b G V F b n R y a W V z I C 8 + P C 9 J d G V t P j x J d G V t P j x J d G V t T G 9 j Y X R p b 2 4 + P E l 0 Z W 1 U e X B l P k Z v c m 1 1 b G E 8 L 0 l 0 Z W 1 U e X B l P j x J d G V t U G F 0 a D 5 T Z W N 0 a W 9 u M S 9 L R E 0 v R 2 V z b 3 J 0 Z W V y Z G U l M j B y a W p l b j w v S X R l b V B h d G g + P C 9 J d G V t T G 9 j Y X R p b 2 4 + P F N 0 Y W J s Z U V u d H J p Z X M g L z 4 8 L 0 l 0 Z W 0 + P E l 0 Z W 0 + P E l 0 Z W 1 M b 2 N h d G l v b j 4 8 S X R l b V R 5 c G U + R m 9 y b X V s Y T w v S X R l b V R 5 c G U + P E l 0 Z W 1 Q Y X R o P l N l Y 3 R p b 2 4 x L 0 t E T S 9 I Z X Q l M j B r b 2 x v b X R 5 c G U l M j B p c y U y M G d l d 2 l q e m l n Z C U y M D E 8 L 0 l 0 Z W 1 Q Y X R o P j w v S X R l b U x v Y 2 F 0 a W 9 u P j x T d G F i b G V F b n R y a W V z I C 8 + P C 9 J d G V t P j x J d G V t P j x J d G V t T G 9 j Y X R p b 2 4 + P E l 0 Z W 1 U e X B l P k Z v c m 1 1 b G E 8 L 0 l 0 Z W 1 U e X B l P j x J d G V t U G F 0 a D 5 T Z W N 0 a W 9 u M S 9 L R F J 2 T k I v S G V 0 J T I w a 2 9 s b 2 1 0 e X B l J T I w a X M l M j B n Z X d p a n p p Z 2 Q 8 L 0 l 0 Z W 1 Q Y X R o P j w v S X R l b U x v Y 2 F 0 a W 9 u P j x T d G F i b G V F b n R y a W V z I C 8 + P C 9 J d G V t P j x J d G V t P j x J d G V t T G 9 j Y X R p b 2 4 + P E l 0 Z W 1 U e X B l P k Z v c m 1 1 b G E 8 L 0 l 0 Z W 1 U e X B l P j x J d G V t U G F 0 a D 5 T Z W N 0 a W 9 u M S 9 L R F J 2 T k I v Q W F u Z 2 V w Y X N 0 J T I w a X R l b S U y M H R v Z W d l d m 9 l Z 2 Q 8 L 0 l 0 Z W 1 Q Y X R o P j w v S X R l b U x v Y 2 F 0 a W 9 u P j x T d G F i b G V F b n R y a W V z I C 8 + P C 9 J d G V t P j x J d G V t P j x J d G V t T G 9 j Y X R p b 2 4 + P E l 0 Z W 1 U e X B l P k Z v c m 1 1 b G E 8 L 0 l 0 Z W 1 U e X B l P j x J d G V t U G F 0 a D 5 T Z W N 0 a W 9 u M S 9 L R F J 2 T k I v V m 9 v c n d h Y X J k Z W x p a m t l J T I w a 2 9 s b 2 0 l M j B p b m d l d m 9 l Z 2 Q 8 L 0 l 0 Z W 1 Q Y X R o P j w v S X R l b U x v Y 2 F 0 a W 9 u P j x T d G F i b G V F b n R y a W V z I C 8 + P C 9 J d G V t P j x J d G V t P j x J d G V t T G 9 j Y X R p b 2 4 + P E l 0 Z W 1 U e X B l P k Z v c m 1 1 b G E 8 L 0 l 0 Z W 1 U e X B l P j x J d G V t U G F 0 a D 5 T Z W N 0 a W 9 u M S 9 L R F J 2 T k I v Q W F u Z 2 V w Y X N 0 J T I w a X R l b S U y M H R v Z W d l d m 9 l Z 2 Q x P C 9 J d G V t U G F 0 a D 4 8 L 0 l 0 Z W 1 M b 2 N h d G l v b j 4 8 U 3 R h Y m x l R W 5 0 c m l l c y A v P j w v S X R l b T 4 8 S X R l b T 4 8 S X R l b U x v Y 2 F 0 a W 9 u P j x J d G V t V H l w Z T 5 G b 3 J t d W x h P C 9 J d G V t V H l w Z T 4 8 S X R l b V B h d G g + U 2 V j d G l v b j E v S 0 R S d k 5 C L 1 Z v b 3 J 3 Y W F y Z G V s a W p r Z S U y M G t v b G 9 t J T I w a W 5 n Z X Z v Z W d k M T w v S X R l b V B h d G g + P C 9 J d G V t T G 9 j Y X R p b 2 4 + P F N 0 Y W J s Z U V u d H J p Z X M g L z 4 8 L 0 l 0 Z W 0 + P E l 0 Z W 0 + P E l 0 Z W 1 M b 2 N h d G l v b j 4 8 S X R l b V R 5 c G U + R m 9 y b X V s Y T w v S X R l b V R 5 c G U + P E l 0 Z W 1 Q Y X R o P l N l Y 3 R p b 2 4 x L 0 t E U n Z O Q i 9 B Y W 5 n Z X B h c 3 Q l M j B p d G V t J T I w d G 9 l Z 2 V 2 b 2 V n Z D I 8 L 0 l 0 Z W 1 Q Y X R o P j w v S X R l b U x v Y 2 F 0 a W 9 u P j x T d G F i b G V F b n R y a W V z I C 8 + P C 9 J d G V t P j x J d G V t P j x J d G V t T G 9 j Y X R p b 2 4 + P E l 0 Z W 1 U e X B l P k Z v c m 1 1 b G E 8 L 0 l 0 Z W 1 U e X B l P j x J d G V t U G F 0 a D 5 T Z W N 0 a W 9 u M S 9 L R F J 2 T k I v V m 9 v c n d h Y X J k Z W x p a m t l J T I w a 2 9 s b 2 0 l M j B p b m d l d m 9 l Z 2 Q y P C 9 J d G V t U G F 0 a D 4 8 L 0 l 0 Z W 1 M b 2 N h d G l v b j 4 8 U 3 R h Y m x l R W 5 0 c m l l c y A v P j w v S X R l b T 4 8 S X R l b T 4 8 S X R l b U x v Y 2 F 0 a W 9 u P j x J d G V t V H l w Z T 5 G b 3 J t d W x h P C 9 J d G V t V H l w Z T 4 8 S X R l b V B h d G g + U 2 V j d G l v b j E v S 0 R S d k 5 C L 0 F h b m d l c G F z d C U y M G l 0 Z W 0 l M j B 0 b 2 V n Z X Z v Z W d k M z w v S X R l b V B h d G g + P C 9 J d G V t T G 9 j Y X R p b 2 4 + P F N 0 Y W J s Z U V u d H J p Z X M g L z 4 8 L 0 l 0 Z W 0 + P E l 0 Z W 0 + P E l 0 Z W 1 M b 2 N h d G l v b j 4 8 S X R l b V R 5 c G U + R m 9 y b X V s Y T w v S X R l b V R 5 c G U + P E l 0 Z W 1 Q Y X R o P l N l Y 3 R p b 2 4 x L 0 t E U n Z O Q i 9 W b 2 9 y d 2 F h c m R l b G l q a 2 U l M j B r b 2 x v b S U y M G l u Z 2 V 2 b 2 V n Z D M 8 L 0 l 0 Z W 1 Q Y X R o P j w v S X R l b U x v Y 2 F 0 a W 9 u P j x T d G F i b G V F b n R y a W V z I C 8 + P C 9 J d G V t P j x J d G V t P j x J d G V t T G 9 j Y X R p b 2 4 + P E l 0 Z W 1 U e X B l P k Z v c m 1 1 b G E 8 L 0 l 0 Z W 1 U e X B l P j x J d G V t U G F 0 a D 5 T Z W N 0 a W 9 u M S 9 L R F J 2 T k I v Q W F u Z 2 V w Y X N 0 J T I w a X R l b S U y M H R v Z W d l d m 9 l Z 2 Q 0 P C 9 J d G V t U G F 0 a D 4 8 L 0 l 0 Z W 1 M b 2 N h d G l v b j 4 8 U 3 R h Y m x l R W 5 0 c m l l c y A v P j w v S X R l b T 4 8 S X R l b T 4 8 S X R l b U x v Y 2 F 0 a W 9 u P j x J d G V t V H l w Z T 5 G b 3 J t d W x h P C 9 J d G V t V H l w Z T 4 8 S X R l b V B h d G g + U 2 V j d G l v b j E v S 0 R S d k 5 C L 1 Z v b 3 J 3 Y W F y Z G V s a W p r Z S U y M G t v b G 9 t J T I w a W 5 n Z X Z v Z W d k N D w v S X R l b V B h d G g + P C 9 J d G V t T G 9 j Y X R p b 2 4 + P F N 0 Y W J s Z U V u d H J p Z X M g L z 4 8 L 0 l 0 Z W 0 + P E l 0 Z W 0 + P E l 0 Z W 1 M b 2 N h d G l v b j 4 8 S X R l b V R 5 c G U + R m 9 y b X V s Y T w v S X R l b V R 5 c G U + P E l 0 Z W 1 Q Y X R o P l N l Y 3 R p b 2 4 x L 0 t E U n Z O Q i 9 B Y W 5 n Z X B h c 3 Q l M j B p d G V t J T I w d G 9 l Z 2 V 2 b 2 V n Z D U 8 L 0 l 0 Z W 1 Q Y X R o P j w v S X R l b U x v Y 2 F 0 a W 9 u P j x T d G F i b G V F b n R y a W V z I C 8 + P C 9 J d G V t P j x J d G V t P j x J d G V t T G 9 j Y X R p b 2 4 + P E l 0 Z W 1 U e X B l P k Z v c m 1 1 b G E 8 L 0 l 0 Z W 1 U e X B l P j x J d G V t U G F 0 a D 5 T Z W N 0 a W 9 u M S 9 L R F J 2 T k I v V m 9 v c n d h Y X J k Z W x p a m t l J T I w a 2 9 s b 2 0 l M j B p b m d l d m 9 l Z 2 Q 1 P C 9 J d G V t U G F 0 a D 4 8 L 0 l 0 Z W 1 M b 2 N h d G l v b j 4 8 U 3 R h Y m x l R W 5 0 c m l l c y A v P j w v S X R l b T 4 8 S X R l b T 4 8 S X R l b U x v Y 2 F 0 a W 9 u P j x J d G V t V H l w Z T 5 G b 3 J t d W x h P C 9 J d G V t V H l w Z T 4 8 S X R l b V B h d G g + U 2 V j d G l v b j E v S 0 R S d k 5 C L 0 F h b m d l c G F z d C U y M G l 0 Z W 0 l M j B 0 b 2 V n Z X Z v Z W d k N j w v S X R l b V B h d G g + P C 9 J d G V t T G 9 j Y X R p b 2 4 + P F N 0 Y W J s Z U V u d H J p Z X M g L z 4 8 L 0 l 0 Z W 0 + P E l 0 Z W 0 + P E l 0 Z W 1 M b 2 N h d G l v b j 4 8 S X R l b V R 5 c G U + R m 9 y b X V s Y T w v S X R l b V R 5 c G U + P E l 0 Z W 1 Q Y X R o P l N l Y 3 R p b 2 4 x L 0 t E U n Z O Q i 9 W b 2 9 y d 2 F h c m R l b G l q a 2 U l M j B r b 2 x v b S U y M G l u Z 2 V 2 b 2 V n Z D Y 8 L 0 l 0 Z W 1 Q Y X R o P j w v S X R l b U x v Y 2 F 0 a W 9 u P j x T d G F i b G V F b n R y a W V z I C 8 + P C 9 J d G V t P j x J d G V t P j x J d G V t T G 9 j Y X R p b 2 4 + P E l 0 Z W 1 U e X B l P k Z v c m 1 1 b G E 8 L 0 l 0 Z W 1 U e X B l P j x J d G V t U G F 0 a D 5 T Z W N 0 a W 9 u M S 9 L R F J 2 T k I v Q W F u Z 2 V w Y X N 0 J T I w a X R l b S U y M H R v Z W d l d m 9 l Z 2 Q 3 P C 9 J d G V t U G F 0 a D 4 8 L 0 l 0 Z W 1 M b 2 N h d G l v b j 4 8 U 3 R h Y m x l R W 5 0 c m l l c y A v P j w v S X R l b T 4 8 S X R l b T 4 8 S X R l b U x v Y 2 F 0 a W 9 u P j x J d G V t V H l w Z T 5 G b 3 J t d W x h P C 9 J d G V t V H l w Z T 4 8 S X R l b V B h d G g + U 2 V j d G l v b j E v S 0 R S d k 5 C L 1 Z v b 3 J 3 Y W F y Z G V s a W p r Z S U y M G t v b G 9 t J T I w a W 5 n Z X Z v Z W d k N z w v S X R l b V B h d G g + P C 9 J d G V t T G 9 j Y X R p b 2 4 + P F N 0 Y W J s Z U V u d H J p Z X M g L z 4 8 L 0 l 0 Z W 0 + P E l 0 Z W 0 + P E l 0 Z W 1 M b 2 N h d G l v b j 4 8 S X R l b V R 5 c G U + R m 9 y b X V s Y T w v S X R l b V R 5 c G U + P E l 0 Z W 1 Q Y X R o P l N l Y 3 R p b 2 4 x L 0 t E U n Z O Q i 9 B Y W 5 n Z X B h c 3 Q l M j B p d G V t J T I w d G 9 l Z 2 V 2 b 2 V n Z D g 8 L 0 l 0 Z W 1 Q Y X R o P j w v S X R l b U x v Y 2 F 0 a W 9 u P j x T d G F i b G V F b n R y a W V z I C 8 + P C 9 J d G V t P j x J d G V t P j x J d G V t T G 9 j Y X R p b 2 4 + P E l 0 Z W 1 U e X B l P k Z v c m 1 1 b G E 8 L 0 l 0 Z W 1 U e X B l P j x J d G V t U G F 0 a D 5 T Z W N 0 a W 9 u M S 9 L R F J 2 T k I v V m 9 v c n d h Y X J k Z W x p a m t l J T I w a 2 9 s b 2 0 l M j B p b m d l d m 9 l Z 2 Q 4 P C 9 J d G V t U G F 0 a D 4 8 L 0 l 0 Z W 1 M b 2 N h d G l v b j 4 8 U 3 R h Y m x l R W 5 0 c m l l c y A v P j w v S X R l b T 4 8 S X R l b T 4 8 S X R l b U x v Y 2 F 0 a W 9 u P j x J d G V t V H l w Z T 5 G b 3 J t d W x h P C 9 J d G V t V H l w Z T 4 8 S X R l b V B h d G g + U 2 V j d G l v b j E v S 0 R S d k 5 C L 0 F h b m d l c G F z d C U y M G l 0 Z W 0 l M j B 0 b 2 V n Z X Z v Z W d k O T w v S X R l b V B h d G g + P C 9 J d G V t T G 9 j Y X R p b 2 4 + P F N 0 Y W J s Z U V u d H J p Z X M g L z 4 8 L 0 l 0 Z W 0 + P E l 0 Z W 0 + P E l 0 Z W 1 M b 2 N h d G l v b j 4 8 S X R l b V R 5 c G U + R m 9 y b X V s Y T w v S X R l b V R 5 c G U + P E l 0 Z W 1 Q Y X R o P l N l Y 3 R p b 2 4 x L 0 t E U n Z O Q i 9 W b 2 9 y d 2 F h c m R l b G l q a 2 U l M j B r b 2 x v b S U y M G l u Z 2 V 2 b 2 V n Z D k 8 L 0 l 0 Z W 1 Q Y X R o P j w v S X R l b U x v Y 2 F 0 a W 9 u P j x T d G F i b G V F b n R y a W V z I C 8 + P C 9 J d G V t P j x J d G V t P j x J d G V t T G 9 j Y X R p b 2 4 + P E l 0 Z W 1 U e X B l P k Z v c m 1 1 b G E 8 L 0 l 0 Z W 1 U e X B l P j x J d G V t U G F 0 a D 5 T Z W N 0 a W 9 u M S 9 L R F J 2 T k I v Q W F u Z 2 V w Y X N 0 J T I w a X R l b S U y M H R v Z W d l d m 9 l Z 2 Q x M D w v S X R l b V B h d G g + P C 9 J d G V t T G 9 j Y X R p b 2 4 + P F N 0 Y W J s Z U V u d H J p Z X M g L z 4 8 L 0 l 0 Z W 0 + P E l 0 Z W 0 + P E l 0 Z W 1 M b 2 N h d G l v b j 4 8 S X R l b V R 5 c G U + R m 9 y b X V s Y T w v S X R l b V R 5 c G U + P E l 0 Z W 1 Q Y X R o P l N l Y 3 R p b 2 4 x L 0 t E U n Z O Q i 9 W b 2 9 y d 2 F h c m R l b G l q a 2 U l M j B r b 2 x v b S U y M G l u Z 2 V 2 b 2 V n Z D E w P C 9 J d G V t U G F 0 a D 4 8 L 0 l 0 Z W 1 M b 2 N h d G l v b j 4 8 U 3 R h Y m x l R W 5 0 c m l l c y A v P j w v S X R l b T 4 8 S X R l b T 4 8 S X R l b U x v Y 2 F 0 a W 9 u P j x J d G V t V H l w Z T 5 G b 3 J t d W x h P C 9 J d G V t V H l w Z T 4 8 S X R l b V B h d G g + U 2 V j d G l v b j E v S 0 R S d k 5 C L 0 F h b m d l c G F z d C U y M G l 0 Z W 0 l M j B 0 b 2 V n Z X Z v Z W d k M T E 8 L 0 l 0 Z W 1 Q Y X R o P j w v S X R l b U x v Y 2 F 0 a W 9 u P j x T d G F i b G V F b n R y a W V z I C 8 + P C 9 J d G V t P j x J d G V t P j x J d G V t T G 9 j Y X R p b 2 4 + P E l 0 Z W 1 U e X B l P k Z v c m 1 1 b G E 8 L 0 l 0 Z W 1 U e X B l P j x J d G V t U G F 0 a D 5 T Z W N 0 a W 9 u M S 9 L R F J 2 T k I v V m 9 v c n d h Y X J k Z W x p a m t l J T I w a 2 9 s b 2 0 l M j B p b m d l d m 9 l Z 2 Q x M T w v S X R l b V B h d G g + P C 9 J d G V t T G 9 j Y X R p b 2 4 + P F N 0 Y W J s Z U V u d H J p Z X M g L z 4 8 L 0 l 0 Z W 0 + P E l 0 Z W 0 + P E l 0 Z W 1 M b 2 N h d G l v b j 4 8 S X R l b V R 5 c G U + R m 9 y b X V s Y T w v S X R l b V R 5 c G U + P E l 0 Z W 1 Q Y X R o P l N l Y 3 R p b 2 4 x L 0 t E U n Z O Q i 9 B Y W 5 n Z X B h c 3 Q l M j B p d G V t J T I w d G 9 l Z 2 V 2 b 2 V n Z D E y P C 9 J d G V t U G F 0 a D 4 8 L 0 l 0 Z W 1 M b 2 N h d G l v b j 4 8 U 3 R h Y m x l R W 5 0 c m l l c y A v P j w v S X R l b T 4 8 S X R l b T 4 8 S X R l b U x v Y 2 F 0 a W 9 u P j x J d G V t V H l w Z T 5 G b 3 J t d W x h P C 9 J d G V t V H l w Z T 4 8 S X R l b V B h d G g + U 2 V j d G l v b j E v S 0 R S d k 5 C L 1 Z v b 3 J 3 Y W F y Z G V s a W p r Z S U y M G t v b G 9 t J T I w a W 5 n Z X Z v Z W d k M T I 8 L 0 l 0 Z W 1 Q Y X R o P j w v S X R l b U x v Y 2 F 0 a W 9 u P j x T d G F i b G V F b n R y a W V z I C 8 + P C 9 J d G V t P j x J d G V t P j x J d G V t T G 9 j Y X R p b 2 4 + P E l 0 Z W 1 U e X B l P k Z v c m 1 1 b G E 8 L 0 l 0 Z W 1 U e X B l P j x J d G V t U G F 0 a D 5 T Z W N 0 a W 9 u M S 9 L R F J 2 T k I v Q W F u Z 2 V w Y X N 0 J T I w a X R l b S U y M H R v Z W d l d m 9 l Z 2 Q x M z w v S X R l b V B h d G g + P C 9 J d G V t T G 9 j Y X R p b 2 4 + P F N 0 Y W J s Z U V u d H J p Z X M g L z 4 8 L 0 l 0 Z W 0 + P E l 0 Z W 0 + P E l 0 Z W 1 M b 2 N h d G l v b j 4 8 S X R l b V R 5 c G U + R m 9 y b X V s Y T w v S X R l b V R 5 c G U + P E l 0 Z W 1 Q Y X R o P l N l Y 3 R p b 2 4 x L 0 t E U n Z O Q i 9 W b 2 9 y d 2 F h c m R l b G l q a 2 U l M j B r b 2 x v b S U y M G l u Z 2 V 2 b 2 V n Z D E z P C 9 J d G V t U G F 0 a D 4 8 L 0 l 0 Z W 1 M b 2 N h d G l v b j 4 8 U 3 R h Y m x l R W 5 0 c m l l c y A v P j w v S X R l b T 4 8 S X R l b T 4 8 S X R l b U x v Y 2 F 0 a W 9 u P j x J d G V t V H l w Z T 5 G b 3 J t d W x h P C 9 J d G V t V H l w Z T 4 8 S X R l b V B h d G g + U 2 V j d G l v b j E v S 0 R S d k 5 C L 0 F h b m d l c G F z d C U y M G l 0 Z W 0 l M j B 0 b 2 V n Z X Z v Z W d k M T Q 8 L 0 l 0 Z W 1 Q Y X R o P j w v S X R l b U x v Y 2 F 0 a W 9 u P j x T d G F i b G V F b n R y a W V z I C 8 + P C 9 J d G V t P j x J d G V t P j x J d G V t T G 9 j Y X R p b 2 4 + P E l 0 Z W 1 U e X B l P k Z v c m 1 1 b G E 8 L 0 l 0 Z W 1 U e X B l P j x J d G V t U G F 0 a D 5 T Z W N 0 a W 9 u M S 9 L R F J 2 T k I v V m 9 v c n d h Y X J k Z W x p a m t l J T I w a 2 9 s b 2 0 l M j B p b m d l d m 9 l Z 2 Q x N D w v S X R l b V B h d G g + P C 9 J d G V t T G 9 j Y X R p b 2 4 + P F N 0 Y W J s Z U V u d H J p Z X M g L z 4 8 L 0 l 0 Z W 0 + P E l 0 Z W 0 + P E l 0 Z W 1 M b 2 N h d G l v b j 4 8 S X R l b V R 5 c G U + R m 9 y b X V s Y T w v S X R l b V R 5 c G U + P E l 0 Z W 1 Q Y X R o P l N l Y 3 R p b 2 4 x L 0 t E U n Z O Q i 9 B Y W 5 n Z X B h c 3 Q l M j B p d G V t J T I w d G 9 l Z 2 V 2 b 2 V n Z D E 1 P C 9 J d G V t U G F 0 a D 4 8 L 0 l 0 Z W 1 M b 2 N h d G l v b j 4 8 U 3 R h Y m x l R W 5 0 c m l l c y A v P j w v S X R l b T 4 8 S X R l b T 4 8 S X R l b U x v Y 2 F 0 a W 9 u P j x J d G V t V H l w Z T 5 G b 3 J t d W x h P C 9 J d G V t V H l w Z T 4 8 S X R l b V B h d G g + U 2 V j d G l v b j E v S 0 R S d k 5 C L 1 Z v b 3 J 3 Y W F y Z G V s a W p r Z S U y M G t v b G 9 t J T I w a W 5 n Z X Z v Z W d k M T U 8 L 0 l 0 Z W 1 Q Y X R o P j w v S X R l b U x v Y 2 F 0 a W 9 u P j x T d G F i b G V F b n R y a W V z I C 8 + P C 9 J d G V t P j x J d G V t P j x J d G V t T G 9 j Y X R p b 2 4 + P E l 0 Z W 1 U e X B l P k Z v c m 1 1 b G E 8 L 0 l 0 Z W 1 U e X B l P j x J d G V t U G F 0 a D 5 T Z W N 0 a W 9 u M S 9 L R F J 2 T k I v Q W F u Z 2 V w Y X N 0 J T I w a X R l b S U y M H R v Z W d l d m 9 l Z 2 Q x N j w v S X R l b V B h d G g + P C 9 J d G V t T G 9 j Y X R p b 2 4 + P F N 0 Y W J s Z U V u d H J p Z X M g L z 4 8 L 0 l 0 Z W 0 + P E l 0 Z W 0 + P E l 0 Z W 1 M b 2 N h d G l v b j 4 8 S X R l b V R 5 c G U + R m 9 y b X V s Y T w v S X R l b V R 5 c G U + P E l 0 Z W 1 Q Y X R o P l N l Y 3 R p b 2 4 x L 0 t E U n Z O Q i 9 W b 2 9 y d 2 F h c m R l b G l q a 2 U l M j B r b 2 x v b S U y M G l u Z 2 V 2 b 2 V n Z D E 2 P C 9 J d G V t U G F 0 a D 4 8 L 0 l 0 Z W 1 M b 2 N h d G l v b j 4 8 U 3 R h Y m x l R W 5 0 c m l l c y A v P j w v S X R l b T 4 8 S X R l b T 4 8 S X R l b U x v Y 2 F 0 a W 9 u P j x J d G V t V H l w Z T 5 G b 3 J t d W x h P C 9 J d G V t V H l w Z T 4 8 S X R l b V B h d G g + U 2 V j d G l v b j E v S 0 R S d k 5 C L 0 F h b m d l c G F z d C U y M G l 0 Z W 0 l M j B 0 b 2 V n Z X Z v Z W d k M T c 8 L 0 l 0 Z W 1 Q Y X R o P j w v S X R l b U x v Y 2 F 0 a W 9 u P j x T d G F i b G V F b n R y a W V z I C 8 + P C 9 J d G V t P j x J d G V t P j x J d G V t T G 9 j Y X R p b 2 4 + P E l 0 Z W 1 U e X B l P k Z v c m 1 1 b G E 8 L 0 l 0 Z W 1 U e X B l P j x J d G V t U G F 0 a D 5 T Z W N 0 a W 9 u M S 9 L R F J 2 T k I v V m 9 v c n d h Y X J k Z W x p a m t l J T I w a 2 9 s b 2 0 l M j B p b m d l d m 9 l Z 2 Q x N z w v S X R l b V B h d G g + P C 9 J d G V t T G 9 j Y X R p b 2 4 + P F N 0 Y W J s Z U V u d H J p Z X M g L z 4 8 L 0 l 0 Z W 0 + P E l 0 Z W 0 + P E l 0 Z W 1 M b 2 N h d G l v b j 4 8 S X R l b V R 5 c G U + R m 9 y b X V s Y T w v S X R l b V R 5 c G U + P E l 0 Z W 1 Q Y X R o P l N l Y 3 R p b 2 4 x L 0 t E U n Z O Q i 9 B Y W 5 n Z X B h c 3 Q l M j B p d G V t J T I w d G 9 l Z 2 V 2 b 2 V n Z D E 4 P C 9 J d G V t U G F 0 a D 4 8 L 0 l 0 Z W 1 M b 2 N h d G l v b j 4 8 U 3 R h Y m x l R W 5 0 c m l l c y A v P j w v S X R l b T 4 8 S X R l b T 4 8 S X R l b U x v Y 2 F 0 a W 9 u P j x J d G V t V H l w Z T 5 G b 3 J t d W x h P C 9 J d G V t V H l w Z T 4 8 S X R l b V B h d G g + U 2 V j d G l v b j E v S 0 R S d k 5 C L 1 Z v b 3 J 3 Y W F y Z G V s a W p r Z S U y M G t v b G 9 t J T I w a W 5 n Z X Z v Z W d k M T g 8 L 0 l 0 Z W 1 Q Y X R o P j w v S X R l b U x v Y 2 F 0 a W 9 u P j x T d G F i b G V F b n R y a W V z I C 8 + P C 9 J d G V t P j x J d G V t P j x J d G V t T G 9 j Y X R p b 2 4 + P E l 0 Z W 1 U e X B l P k Z v c m 1 1 b G E 8 L 0 l 0 Z W 1 U e X B l P j x J d G V t U G F 0 a D 5 T Z W N 0 a W 9 u M S 9 L R F J 2 T k I v Q W F u Z 2 V w Y X N 0 J T I w a X R l b S U y M H R v Z W d l d m 9 l Z 2 Q x O T w v S X R l b V B h d G g + P C 9 J d G V t T G 9 j Y X R p b 2 4 + P F N 0 Y W J s Z U V u d H J p Z X M g L z 4 8 L 0 l 0 Z W 0 + P E l 0 Z W 0 + P E l 0 Z W 1 M b 2 N h d G l v b j 4 8 S X R l b V R 5 c G U + R m 9 y b X V s Y T w v S X R l b V R 5 c G U + P E l 0 Z W 1 Q Y X R o P l N l Y 3 R p b 2 4 x L 0 t E U n Z O Q i 9 W b 2 9 y d 2 F h c m R l b G l q a 2 U l M j B r b 2 x v b S U y M G l u Z 2 V 2 b 2 V n Z D E 5 P C 9 J d G V t U G F 0 a D 4 8 L 0 l 0 Z W 1 M b 2 N h d G l v b j 4 8 U 3 R h Y m x l R W 5 0 c m l l c y A v P j w v S X R l b T 4 8 S X R l b T 4 8 S X R l b U x v Y 2 F 0 a W 9 u P j x J d G V t V H l w Z T 5 G b 3 J t d W x h P C 9 J d G V t V H l w Z T 4 8 S X R l b V B h d G g + U 2 V j d G l v b j E v S 0 R S d k 5 C L 0 F h b m d l c G F z d C U y M G l 0 Z W 0 l M j B 0 b 2 V n Z X Z v Z W d k M j A 8 L 0 l 0 Z W 1 Q Y X R o P j w v S X R l b U x v Y 2 F 0 a W 9 u P j x T d G F i b G V F b n R y a W V z I C 8 + P C 9 J d G V t P j x J d G V t P j x J d G V t T G 9 j Y X R p b 2 4 + P E l 0 Z W 1 U e X B l P k Z v c m 1 1 b G E 8 L 0 l 0 Z W 1 U e X B l P j x J d G V t U G F 0 a D 5 T Z W N 0 a W 9 u M S 9 L R F J 2 T k I v Q W F u Z 2 V w Y X N 0 J T I w a X R l b S U y M H R v Z W d l d m 9 l Z 2 Q y M T w v S X R l b V B h d G g + P C 9 J d G V t T G 9 j Y X R p b 2 4 + P F N 0 Y W J s Z U V u d H J p Z X M g L z 4 8 L 0 l 0 Z W 0 + P E l 0 Z W 0 + P E l 0 Z W 1 M b 2 N h d G l v b j 4 8 S X R l b V R 5 c G U + R m 9 y b X V s Y T w v S X R l b V R 5 c G U + P E l 0 Z W 1 Q Y X R o P l N l Y 3 R p b 2 4 x L 0 t E U n Z O Q i 9 B Y W 5 n Z X B h c 3 Q l M j B p d G V t J T I w d G 9 l Z 2 V 2 b 2 V n Z D I y P C 9 J d G V t U G F 0 a D 4 8 L 0 l 0 Z W 1 M b 2 N h d G l v b j 4 8 U 3 R h Y m x l R W 5 0 c m l l c y A v P j w v S X R l b T 4 8 S X R l b T 4 8 S X R l b U x v Y 2 F 0 a W 9 u P j x J d G V t V H l w Z T 5 G b 3 J t d W x h P C 9 J d G V t V H l w Z T 4 8 S X R l b V B h d G g + U 2 V j d G l v b j E v S 0 R S d k 5 C L 0 5 h b W V u J T I w d m F u J T I w a 2 9 s b 2 1 t Z W 4 l M j B n Z X d p a n p p Z 2 Q l M j A x P C 9 J d G V t U G F 0 a D 4 8 L 0 l 0 Z W 1 M b 2 N h d G l v b j 4 8 U 3 R h Y m x l R W 5 0 c m l l c y A v P j w v S X R l b T 4 8 S X R l b T 4 8 S X R l b U x v Y 2 F 0 a W 9 u P j x J d G V t V H l w Z T 5 G b 3 J t d W x h P C 9 J d G V t V H l w Z T 4 8 S X R l b V B h d G g + U 2 V j d G l v b j E v S 0 R S d k 5 C L 0 5 h b W V u J T I w d m F u J T I w a 2 9 s b 2 1 t Z W 4 l M j B n Z X d p a n p p Z 2 Q l M j A y P C 9 J d G V t U G F 0 a D 4 8 L 0 l 0 Z W 1 M b 2 N h d G l v b j 4 8 U 3 R h Y m x l R W 5 0 c m l l c y A v P j w v S X R l b T 4 8 S X R l b T 4 8 S X R l b U x v Y 2 F 0 a W 9 u P j x J d G V t V H l w Z T 5 G b 3 J t d W x h P C 9 J d G V t V H l w Z T 4 8 S X R l b V B h d G g + U 2 V j d G l v b j E v S 0 R S d k 5 C L 0 t v b G 9 t b W V u J T I w d m V y d 2 l q Z G V y Z C U y M D E 8 L 0 l 0 Z W 1 Q Y X R o P j w v S X R l b U x v Y 2 F 0 a W 9 u P j x T d G F i b G V F b n R y a W V z I C 8 + P C 9 J d G V t P j x J d G V t P j x J d G V t T G 9 j Y X R p b 2 4 + P E l 0 Z W 1 U e X B l P k Z v c m 1 1 b G E 8 L 0 l 0 Z W 1 U e X B l P j x J d G V t U G F 0 a D 5 T Z W N 0 a W 9 u M S 9 L R F J 2 T k I v Q W F u Z 2 V w Y X N 0 J T I w a X R l b S U y M H R v Z W d l d m 9 l Z 2 Q y O D w v S X R l b V B h d G g + P C 9 J d G V t T G 9 j Y X R p b 2 4 + P F N 0 Y W J s Z U V u d H J p Z X M g L z 4 8 L 0 l 0 Z W 0 + P E l 0 Z W 0 + P E l 0 Z W 1 M b 2 N h d G l v b j 4 8 S X R l b V R 5 c G U + R m 9 y b X V s Y T w v S X R l b V R 5 c G U + P E l 0 Z W 1 Q Y X R o P l N l Y 3 R p b 2 4 x L 0 t E U n Z O Q i 9 B Y W 5 n Z X B h c 3 Q l M j B p d G V t J T I w d G 9 l Z 2 V 2 b 2 V n Z D I 5 P C 9 J d G V t U G F 0 a D 4 8 L 0 l 0 Z W 1 M b 2 N h d G l v b j 4 8 U 3 R h Y m x l R W 5 0 c m l l c y A v P j w v S X R l b T 4 8 S X R l b T 4 8 S X R l b U x v Y 2 F 0 a W 9 u P j x J d G V t V H l w Z T 5 G b 3 J t d W x h P C 9 J d G V t V H l w Z T 4 8 S X R l b V B h d G g + U 2 V j d G l v b j E v S 0 R S d k 5 C L 0 F h b m d l c G F z d C U y M G l 0 Z W 0 l M j B 0 b 2 V n Z X Z v Z W d k M z A 8 L 0 l 0 Z W 1 Q Y X R o P j w v S X R l b U x v Y 2 F 0 a W 9 u P j x T d G F i b G V F b n R y a W V z I C 8 + P C 9 J d G V t P j x J d G V t P j x J d G V t T G 9 j Y X R p b 2 4 + P E l 0 Z W 1 U e X B l P k Z v c m 1 1 b G E 8 L 0 l 0 Z W 1 U e X B l P j x J d G V t U G F 0 a D 5 T Z W N 0 a W 9 u M S 9 L R F J 2 T k I v Q W F u Z 2 V w Y X N 0 J T I w a X R l b S U y M H R v Z W d l d m 9 l Z 2 Q z M T w v S X R l b V B h d G g + P C 9 J d G V t T G 9 j Y X R p b 2 4 + P F N 0 Y W J s Z U V u d H J p Z X M g L z 4 8 L 0 l 0 Z W 0 + P E l 0 Z W 0 + P E l 0 Z W 1 M b 2 N h d G l v b j 4 8 S X R l b V R 5 c G U + R m 9 y b X V s Y T w v S X R l b V R 5 c G U + P E l 0 Z W 1 Q Y X R o P l N l Y 3 R p b 2 4 x L 0 t E U n Z O Q i 9 B Y W 5 n Z X B h c 3 Q l M j B p d G V t J T I w d G 9 l Z 2 V 2 b 2 V n Z D M y P C 9 J d G V t U G F 0 a D 4 8 L 0 l 0 Z W 1 M b 2 N h d G l v b j 4 8 U 3 R h Y m x l R W 5 0 c m l l c y A v P j w v S X R l b T 4 8 S X R l b T 4 8 S X R l b U x v Y 2 F 0 a W 9 u P j x J d G V t V H l w Z T 5 G b 3 J t d W x h P C 9 J d G V t V H l w Z T 4 8 S X R l b V B h d G g + U 2 V j d G l v b j E v S 0 R S d k 5 C L 0 F h b m d l c G F z d C U y M G l 0 Z W 0 l M j B 0 b 2 V n Z X Z v Z W d k M z M 8 L 0 l 0 Z W 1 Q Y X R o P j w v S X R l b U x v Y 2 F 0 a W 9 u P j x T d G F i b G V F b n R y a W V z I C 8 + P C 9 J d G V t P j x J d G V t P j x J d G V t T G 9 j Y X R p b 2 4 + P E l 0 Z W 1 U e X B l P k Z v c m 1 1 b G E 8 L 0 l 0 Z W 1 U e X B l P j x J d G V t U G F 0 a D 5 T Z W N 0 a W 9 u M S 9 L R F J 2 T k I v Q W F u Z 2 V w Y X N 0 J T I w a X R l b S U y M H R v Z W d l d m 9 l Z 2 Q z N D w v S X R l b V B h d G g + P C 9 J d G V t T G 9 j Y X R p b 2 4 + P F N 0 Y W J s Z U V u d H J p Z X M g L z 4 8 L 0 l 0 Z W 0 + P E l 0 Z W 0 + P E l 0 Z W 1 M b 2 N h d G l v b j 4 8 S X R l b V R 5 c G U + R m 9 y b X V s Y T w v S X R l b V R 5 c G U + P E l 0 Z W 1 Q Y X R o P l N l Y 3 R p b 2 4 x L 0 t E U n Z O Q i 9 B Y W 5 n Z X B h c 3 Q l M j B p d G V t J T I w d G 9 l Z 2 V 2 b 2 V n Z D M 1 P C 9 J d G V t U G F 0 a D 4 8 L 0 l 0 Z W 1 M b 2 N h d G l v b j 4 8 U 3 R h Y m x l R W 5 0 c m l l c y A v P j w v S X R l b T 4 8 S X R l b T 4 8 S X R l b U x v Y 2 F 0 a W 9 u P j x J d G V t V H l w Z T 5 G b 3 J t d W x h P C 9 J d G V t V H l w Z T 4 8 S X R l b V B h d G g + U 2 V j d G l v b j E v S 0 R S d k 5 C L 0 F h b m d l c G F z d C U y M G l 0 Z W 0 l M j B 0 b 2 V n Z X Z v Z W d k M z Y 8 L 0 l 0 Z W 1 Q Y X R o P j w v S X R l b U x v Y 2 F 0 a W 9 u P j x T d G F i b G V F b n R y a W V z I C 8 + P C 9 J d G V t P j x J d G V t P j x J d G V t T G 9 j Y X R p b 2 4 + P E l 0 Z W 1 U e X B l P k Z v c m 1 1 b G E 8 L 0 l 0 Z W 1 U e X B l P j x J d G V t U G F 0 a D 5 T Z W N 0 a W 9 u M S 9 L R F J 2 T k I v Q W F u Z 2 V w Y X N 0 J T I w a X R l b S U y M H R v Z W d l d m 9 l Z 2 Q z N z w v S X R l b V B h d G g + P C 9 J d G V t T G 9 j Y X R p b 2 4 + P F N 0 Y W J s Z U V u d H J p Z X M g L z 4 8 L 0 l 0 Z W 0 + P E l 0 Z W 0 + P E l 0 Z W 1 M b 2 N h d G l v b j 4 8 S X R l b V R 5 c G U + R m 9 y b X V s Y T w v S X R l b V R 5 c G U + P E l 0 Z W 1 Q Y X R o P l N l Y 3 R p b 2 4 x L 0 t E U n Z O Q i 9 B Y W 5 n Z X B h c 3 Q l M j B p d G V t J T I w d G 9 l Z 2 V 2 b 2 V n Z D M 4 P C 9 J d G V t U G F 0 a D 4 8 L 0 l 0 Z W 1 M b 2 N h d G l v b j 4 8 U 3 R h Y m x l R W 5 0 c m l l c y A v P j w v S X R l b T 4 8 S X R l b T 4 8 S X R l b U x v Y 2 F 0 a W 9 u P j x J d G V t V H l w Z T 5 G b 3 J t d W x h P C 9 J d G V t V H l w Z T 4 8 S X R l b V B h d G g + U 2 V j d G l v b j E v S 0 R S d k 5 C L 0 F h b m d l c G F z d C U y M G l 0 Z W 0 l M j B 0 b 2 V n Z X Z v Z W d k M z k 8 L 0 l 0 Z W 1 Q Y X R o P j w v S X R l b U x v Y 2 F 0 a W 9 u P j x T d G F i b G V F b n R y a W V z I C 8 + P C 9 J d G V t P j x J d G V t P j x J d G V t T G 9 j Y X R p b 2 4 + P E l 0 Z W 1 U e X B l P k Z v c m 1 1 b G E 8 L 0 l 0 Z W 1 U e X B l P j x J d G V t U G F 0 a D 5 T Z W N 0 a W 9 u M S 9 L R F J 2 T k I v Q W F u Z 2 V w Y X N 0 J T I w a X R l b S U y M H R v Z W d l d m 9 l Z 2 Q 0 M D w v S X R l b V B h d G g + P C 9 J d G V t T G 9 j Y X R p b 2 4 + P F N 0 Y W J s Z U V u d H J p Z X M g L z 4 8 L 0 l 0 Z W 0 + P E l 0 Z W 0 + P E l 0 Z W 1 M b 2 N h d G l v b j 4 8 S X R l b V R 5 c G U + R m 9 y b X V s Y T w v S X R l b V R 5 c G U + P E l 0 Z W 1 Q Y X R o P l N l Y 3 R p b 2 4 x L 0 t E U n Z O Q i 9 B Y W 5 n Z X B h c 3 Q l M j B p d G V t J T I w d G 9 l Z 2 V 2 b 2 V n Z D Q x P C 9 J d G V t U G F 0 a D 4 8 L 0 l 0 Z W 1 M b 2 N h d G l v b j 4 8 U 3 R h Y m x l R W 5 0 c m l l c y A v P j w v S X R l b T 4 8 S X R l b T 4 8 S X R l b U x v Y 2 F 0 a W 9 u P j x J d G V t V H l w Z T 5 G b 3 J t d W x h P C 9 J d G V t V H l w Z T 4 8 S X R l b V B h d G g + U 2 V j d G l v b j E v S 0 R S d k 5 C L 0 F h b m d l c G F z d C U y M G l 0 Z W 0 l M j B 0 b 2 V n Z X Z v Z W d k N D I 8 L 0 l 0 Z W 1 Q Y X R o P j w v S X R l b U x v Y 2 F 0 a W 9 u P j x T d G F i b G V F b n R y a W V z I C 8 + P C 9 J d G V t P j x J d G V t P j x J d G V t T G 9 j Y X R p b 2 4 + P E l 0 Z W 1 U e X B l P k Z v c m 1 1 b G E 8 L 0 l 0 Z W 1 U e X B l P j x J d G V t U G F 0 a D 5 T Z W N 0 a W 9 u M S 9 L R F J 2 T k I v Q W F u Z 2 V w Y X N 0 J T I w a X R l b S U y M H R v Z W d l d m 9 l Z 2 Q 0 M z w v S X R l b V B h d G g + P C 9 J d G V t T G 9 j Y X R p b 2 4 + P F N 0 Y W J s Z U V u d H J p Z X M g L z 4 8 L 0 l 0 Z W 0 + P E l 0 Z W 0 + P E l 0 Z W 1 M b 2 N h d G l v b j 4 8 S X R l b V R 5 c G U + R m 9 y b X V s Y T w v S X R l b V R 5 c G U + P E l 0 Z W 1 Q Y X R o P l N l Y 3 R p b 2 4 x L 0 t E U n Z O Q i 9 B Y W 5 n Z X B h c 3 Q l M j B p d G V t J T I w d G 9 l Z 2 V 2 b 2 V n Z D Q 0 P C 9 J d G V t U G F 0 a D 4 8 L 0 l 0 Z W 1 M b 2 N h d G l v b j 4 8 U 3 R h Y m x l R W 5 0 c m l l c y A v P j w v S X R l b T 4 8 S X R l b T 4 8 S X R l b U x v Y 2 F 0 a W 9 u P j x J d G V t V H l w Z T 5 G b 3 J t d W x h P C 9 J d G V t V H l w Z T 4 8 S X R l b V B h d G g + U 2 V j d G l v b j E v S 0 R S d k 5 C L 0 F h b m d l c G F z d C U y M G l 0 Z W 0 l M j B 0 b 2 V n Z X Z v Z W d k N D U 8 L 0 l 0 Z W 1 Q Y X R o P j w v S X R l b U x v Y 2 F 0 a W 9 u P j x T d G F i b G V F b n R y a W V z I C 8 + P C 9 J d G V t P j x J d G V t P j x J d G V t T G 9 j Y X R p b 2 4 + P E l 0 Z W 1 U e X B l P k Z v c m 1 1 b G E 8 L 0 l 0 Z W 1 U e X B l P j x J d G V t U G F 0 a D 5 T Z W N 0 a W 9 u M S 9 L R F J 2 T k I v Q W F u Z 2 V w Y X N 0 J T I w a X R l b S U y M H R v Z W d l d m 9 l Z 2 Q 0 N j w v S X R l b V B h d G g + P C 9 J d G V t T G 9 j Y X R p b 2 4 + P F N 0 Y W J s Z U V u d H J p Z X M g L z 4 8 L 0 l 0 Z W 0 + P E l 0 Z W 0 + P E l 0 Z W 1 M b 2 N h d G l v b j 4 8 S X R l b V R 5 c G U + R m 9 y b X V s Y T w v S X R l b V R 5 c G U + P E l 0 Z W 1 Q Y X R o P l N l Y 3 R p b 2 4 x L 0 t E U n Z O Q i 9 B Y W 5 n Z X B h c 3 Q l M j B p d G V t J T I w d G 9 l Z 2 V 2 b 2 V n Z D Q 3 P C 9 J d G V t U G F 0 a D 4 8 L 0 l 0 Z W 1 M b 2 N h d G l v b j 4 8 U 3 R h Y m x l R W 5 0 c m l l c y A v P j w v S X R l b T 4 8 S X R l b T 4 8 S X R l b U x v Y 2 F 0 a W 9 u P j x J d G V t V H l w Z T 5 G b 3 J t d W x h P C 9 J d G V t V H l w Z T 4 8 S X R l b V B h d G g + U 2 V j d G l v b j E v S 0 R S d k 5 C L 0 F h b m d l c G F z d C U y M G l 0 Z W 0 l M j B 0 b 2 V n Z X Z v Z W d k N D g 8 L 0 l 0 Z W 1 Q Y X R o P j w v S X R l b U x v Y 2 F 0 a W 9 u P j x T d G F i b G V F b n R y a W V z I C 8 + P C 9 J d G V t P j x J d G V t P j x J d G V t T G 9 j Y X R p b 2 4 + P E l 0 Z W 1 U e X B l P k Z v c m 1 1 b G E 8 L 0 l 0 Z W 1 U e X B l P j x J d G V t U G F 0 a D 5 T Z W N 0 a W 9 u M S 9 L R F J 2 T k I v Q W F u Z 2 V w Y X N 0 J T I w a X R l b S U y M H R v Z W d l d m 9 l Z 2 Q 0 O T w v S X R l b V B h d G g + P C 9 J d G V t T G 9 j Y X R p b 2 4 + P F N 0 Y W J s Z U V u d H J p Z X M g L z 4 8 L 0 l 0 Z W 0 + P E l 0 Z W 0 + P E l 0 Z W 1 M b 2 N h d G l v b j 4 8 S X R l b V R 5 c G U + R m 9 y b X V s Y T w v S X R l b V R 5 c G U + P E l 0 Z W 1 Q Y X R o P l N l Y 3 R p b 2 4 x L 0 t E U n Z O Q i 9 B Y W 5 n Z X B h c 3 Q l M j B p d G V t J T I w d G 9 l Z 2 V 2 b 2 V n Z D U w P C 9 J d G V t U G F 0 a D 4 8 L 0 l 0 Z W 1 M b 2 N h d G l v b j 4 8 U 3 R h Y m x l R W 5 0 c m l l c y A v P j w v S X R l b T 4 8 S X R l b T 4 8 S X R l b U x v Y 2 F 0 a W 9 u P j x J d G V t V H l w Z T 5 G b 3 J t d W x h P C 9 J d G V t V H l w Z T 4 8 S X R l b V B h d G g + U 2 V j d G l v b j E v S 0 R S d k 5 C L 0 F h b m d l c G F z d C U y M G l 0 Z W 0 l M j B 0 b 2 V n Z X Z v Z W d k N T E 8 L 0 l 0 Z W 1 Q Y X R o P j w v S X R l b U x v Y 2 F 0 a W 9 u P j x T d G F i b G V F b n R y a W V z I C 8 + P C 9 J d G V t P j x J d G V t P j x J d G V t T G 9 j Y X R p b 2 4 + P E l 0 Z W 1 U e X B l P k Z v c m 1 1 b G E 8 L 0 l 0 Z W 1 U e X B l P j x J d G V t U G F 0 a D 5 T Z W N 0 a W 9 u M S 9 L R F J 2 T k I v Q W F u Z 2 V w Y X N 0 J T I w a X R l b S U y M H R v Z W d l d m 9 l Z 2 Q 1 M j w v S X R l b V B h d G g + P C 9 J d G V t T G 9 j Y X R p b 2 4 + P F N 0 Y W J s Z U V u d H J p Z X M g L z 4 8 L 0 l 0 Z W 0 + P E l 0 Z W 0 + P E l 0 Z W 1 M b 2 N h d G l v b j 4 8 S X R l b V R 5 c G U + R m 9 y b X V s Y T w v S X R l b V R 5 c G U + P E l 0 Z W 1 Q Y X R o P l N l Y 3 R p b 2 4 x L 0 t E U n Z O Q i 9 B Y W 5 n Z X B h c 3 Q l M j B p d G V t J T I w d G 9 l Z 2 V 2 b 2 V n Z D U z P C 9 J d G V t U G F 0 a D 4 8 L 0 l 0 Z W 1 M b 2 N h d G l v b j 4 8 U 3 R h Y m x l R W 5 0 c m l l c y A v P j w v S X R l b T 4 8 S X R l b T 4 8 S X R l b U x v Y 2 F 0 a W 9 u P j x J d G V t V H l w Z T 5 G b 3 J t d W x h P C 9 J d G V t V H l w Z T 4 8 S X R l b V B h d G g + U 2 V j d G l v b j E v S 0 R S d k 5 C L 0 F h b m d l c G F z d C U y M G l 0 Z W 0 l M j B 0 b 2 V n Z X Z v Z W d k N T Q 8 L 0 l 0 Z W 1 Q Y X R o P j w v S X R l b U x v Y 2 F 0 a W 9 u P j x T d G F i b G V F b n R y a W V z I C 8 + P C 9 J d G V t P j x J d G V t P j x J d G V t T G 9 j Y X R p b 2 4 + P E l 0 Z W 1 U e X B l P k Z v c m 1 1 b G E 8 L 0 l 0 Z W 1 U e X B l P j x J d G V t U G F 0 a D 5 T Z W N 0 a W 9 u M S 9 L R F J 2 T k I v Q W F u Z 2 V w Y X N 0 J T I w a X R l b S U y M H R v Z W d l d m 9 l Z 2 Q 1 N T w v S X R l b V B h d G g + P C 9 J d G V t T G 9 j Y X R p b 2 4 + P F N 0 Y W J s Z U V u d H J p Z X M g L z 4 8 L 0 l 0 Z W 0 + P E l 0 Z W 0 + P E l 0 Z W 1 M b 2 N h d G l v b j 4 8 S X R l b V R 5 c G U + R m 9 y b X V s Y T w v S X R l b V R 5 c G U + P E l 0 Z W 1 Q Y X R o P l N l Y 3 R p b 2 4 x L 0 t E U n Z O Q i 9 B Y W 5 n Z X B h c 3 Q l M j B p d G V t J T I w d G 9 l Z 2 V 2 b 2 V n Z D U 2 P C 9 J d G V t U G F 0 a D 4 8 L 0 l 0 Z W 1 M b 2 N h d G l v b j 4 8 U 3 R h Y m x l R W 5 0 c m l l c y A v P j w v S X R l b T 4 8 S X R l b T 4 8 S X R l b U x v Y 2 F 0 a W 9 u P j x J d G V t V H l w Z T 5 G b 3 J t d W x h P C 9 J d G V t V H l w Z T 4 8 S X R l b V B h d G g + U 2 V j d G l v b j E v S 0 R S d k 5 C L 0 F h b m d l c G F z d C U y M G l 0 Z W 0 l M j B 0 b 2 V n Z X Z v Z W d k N T c 8 L 0 l 0 Z W 1 Q Y X R o P j w v S X R l b U x v Y 2 F 0 a W 9 u P j x T d G F i b G V F b n R y a W V z I C 8 + P C 9 J d G V t P j x J d G V t P j x J d G V t T G 9 j Y X R p b 2 4 + P E l 0 Z W 1 U e X B l P k Z v c m 1 1 b G E 8 L 0 l 0 Z W 1 U e X B l P j x J d G V t U G F 0 a D 5 T Z W N 0 a W 9 u M S 9 L R F J 2 T k I v V m 9 v c n d h Y X J k Z W x p a m t l J T I w a 2 9 s b 2 0 l M j B p b m d l d m 9 l Z 2 Q z M D w v S X R l b V B h d G g + P C 9 J d G V t T G 9 j Y X R p b 2 4 + P F N 0 Y W J s Z U V u d H J p Z X M g L z 4 8 L 0 l 0 Z W 0 + P E l 0 Z W 0 + P E l 0 Z W 1 M b 2 N h d G l v b j 4 8 S X R l b V R 5 c G U + R m 9 y b X V s Y T w v S X R l b V R 5 c G U + P E l 0 Z W 1 Q Y X R o P l N l Y 3 R p b 2 4 x L 0 t E U n Z O Q i 9 W b 2 9 y d 2 F h c m R l b G l q a 2 U l M j B r b 2 x v b S U y M G l u Z 2 V 2 b 2 V n Z D M x P C 9 J d G V t U G F 0 a D 4 8 L 0 l 0 Z W 1 M b 2 N h d G l v b j 4 8 U 3 R h Y m x l R W 5 0 c m l l c y A v P j w v S X R l b T 4 8 S X R l b T 4 8 S X R l b U x v Y 2 F 0 a W 9 u P j x J d G V t V H l w Z T 5 G b 3 J t d W x h P C 9 J d G V t V H l w Z T 4 8 S X R l b V B h d G g + U 2 V j d G l v b j E v S 0 R S d k 5 C L 1 Z v b 3 J 3 Y W F y Z G V s a W p r Z S U y M G t v b G 9 t J T I w a W 5 n Z X Z v Z W d k M z I 8 L 0 l 0 Z W 1 Q Y X R o P j w v S X R l b U x v Y 2 F 0 a W 9 u P j x T d G F i b G V F b n R y a W V z I C 8 + P C 9 J d G V t P j x J d G V t P j x J d G V t T G 9 j Y X R p b 2 4 + P E l 0 Z W 1 U e X B l P k Z v c m 1 1 b G E 8 L 0 l 0 Z W 1 U e X B l P j x J d G V t U G F 0 a D 5 T Z W N 0 a W 9 u M S 9 L R F J 2 T k I v V m 9 v c n d h Y X J k Z W x p a m t l J T I w a 2 9 s b 2 0 l M j B p b m d l d m 9 l Z 2 Q z M z w v S X R l b V B h d G g + P C 9 J d G V t T G 9 j Y X R p b 2 4 + P F N 0 Y W J s Z U V u d H J p Z X M g L z 4 8 L 0 l 0 Z W 0 + P E l 0 Z W 0 + P E l 0 Z W 1 M b 2 N h d G l v b j 4 8 S X R l b V R 5 c G U + R m 9 y b X V s Y T w v S X R l b V R 5 c G U + P E l 0 Z W 1 Q Y X R o P l N l Y 3 R p b 2 4 x L 0 t E U n Z O Q i 9 W b 2 9 y d 2 F h c m R l b G l q a 2 U l M j B r b 2 x v b S U y M G l u Z 2 V 2 b 2 V n Z D M 0 P C 9 J d G V t U G F 0 a D 4 8 L 0 l 0 Z W 1 M b 2 N h d G l v b j 4 8 U 3 R h Y m x l R W 5 0 c m l l c y A v P j w v S X R l b T 4 8 S X R l b T 4 8 S X R l b U x v Y 2 F 0 a W 9 u P j x J d G V t V H l w Z T 5 G b 3 J t d W x h P C 9 J d G V t V H l w Z T 4 8 S X R l b V B h d G g + U 2 V j d G l v b j E v S 0 R S d k 5 C L 1 Z v b 3 J 3 Y W F y Z G V s a W p r Z S U y M G t v b G 9 t J T I w a W 5 n Z X Z v Z W d k M z U 8 L 0 l 0 Z W 1 Q Y X R o P j w v S X R l b U x v Y 2 F 0 a W 9 u P j x T d G F i b G V F b n R y a W V z I C 8 + P C 9 J d G V t P j x J d G V t P j x J d G V t T G 9 j Y X R p b 2 4 + P E l 0 Z W 1 U e X B l P k Z v c m 1 1 b G E 8 L 0 l 0 Z W 1 U e X B l P j x J d G V t U G F 0 a D 5 T Z W N 0 a W 9 u M S 9 L R F J 2 T k I v V m 9 v c n d h Y X J k Z W x p a m t l J T I w a 2 9 s b 2 0 l M j B p b m d l d m 9 l Z 2 Q z N j w v S X R l b V B h d G g + P C 9 J d G V t T G 9 j Y X R p b 2 4 + P F N 0 Y W J s Z U V u d H J p Z X M g L z 4 8 L 0 l 0 Z W 0 + P E l 0 Z W 0 + P E l 0 Z W 1 M b 2 N h d G l v b j 4 8 S X R l b V R 5 c G U + R m 9 y b X V s Y T w v S X R l b V R 5 c G U + P E l 0 Z W 1 Q Y X R o P l N l Y 3 R p b 2 4 x L 0 t E U n Z O Q i 9 W b 2 9 y d 2 F h c m R l b G l q a 2 U l M j B r b 2 x v b S U y M G l u Z 2 V 2 b 2 V n Z D M 3 P C 9 J d G V t U G F 0 a D 4 8 L 0 l 0 Z W 1 M b 2 N h d G l v b j 4 8 U 3 R h Y m x l R W 5 0 c m l l c y A v P j w v S X R l b T 4 8 S X R l b T 4 8 S X R l b U x v Y 2 F 0 a W 9 u P j x J d G V t V H l w Z T 5 G b 3 J t d W x h P C 9 J d G V t V H l w Z T 4 8 S X R l b V B h d G g + U 2 V j d G l v b j E v S 0 R S d k 5 C L 1 Z v b 3 J 3 Y W F y Z G V s a W p r Z S U y M G t v b G 9 t J T I w a W 5 n Z X Z v Z W d k M z g 8 L 0 l 0 Z W 1 Q Y X R o P j w v S X R l b U x v Y 2 F 0 a W 9 u P j x T d G F i b G V F b n R y a W V z I C 8 + P C 9 J d G V t P j x J d G V t P j x J d G V t T G 9 j Y X R p b 2 4 + P E l 0 Z W 1 U e X B l P k Z v c m 1 1 b G E 8 L 0 l 0 Z W 1 U e X B l P j x J d G V t U G F 0 a D 5 T Z W N 0 a W 9 u M S 9 L R F J 2 T k I v V m 9 v c n d h Y X J k Z W x p a m t l J T I w a 2 9 s b 2 0 l M j B p b m d l d m 9 l Z 2 Q z O T w v S X R l b V B h d G g + P C 9 J d G V t T G 9 j Y X R p b 2 4 + P F N 0 Y W J s Z U V u d H J p Z X M g L z 4 8 L 0 l 0 Z W 0 + P E l 0 Z W 0 + P E l 0 Z W 1 M b 2 N h d G l v b j 4 8 S X R l b V R 5 c G U + R m 9 y b X V s Y T w v S X R l b V R 5 c G U + P E l 0 Z W 1 Q Y X R o P l N l Y 3 R p b 2 4 x L 0 t E U n Z O Q i 9 W b 2 9 y d 2 F h c m R l b G l q a 2 U l M j B r b 2 x v b S U y M G l u Z 2 V 2 b 2 V n Z D Q w P C 9 J d G V t U G F 0 a D 4 8 L 0 l 0 Z W 1 M b 2 N h d G l v b j 4 8 U 3 R h Y m x l R W 5 0 c m l l c y A v P j w v S X R l b T 4 8 S X R l b T 4 8 S X R l b U x v Y 2 F 0 a W 9 u P j x J d G V t V H l w Z T 5 G b 3 J t d W x h P C 9 J d G V t V H l w Z T 4 8 S X R l b V B h d G g + U 2 V j d G l v b j E v S 0 R S d k 5 C L 1 Z v b 3 J 3 Y W F y Z G V s a W p r Z S U y M G t v b G 9 t J T I w a W 5 n Z X Z v Z W d k N D E 8 L 0 l 0 Z W 1 Q Y X R o P j w v S X R l b U x v Y 2 F 0 a W 9 u P j x T d G F i b G V F b n R y a W V z I C 8 + P C 9 J d G V t P j x J d G V t P j x J d G V t T G 9 j Y X R p b 2 4 + P E l 0 Z W 1 U e X B l P k Z v c m 1 1 b G E 8 L 0 l 0 Z W 1 U e X B l P j x J d G V t U G F 0 a D 5 T Z W N 0 a W 9 u M S 9 L R F J 2 T k I v V m 9 v c n d h Y X J k Z W x p a m t l J T I w a 2 9 s b 2 0 l M j B p b m d l d m 9 l Z 2 Q 0 M j w v S X R l b V B h d G g + P C 9 J d G V t T G 9 j Y X R p b 2 4 + P F N 0 Y W J s Z U V u d H J p Z X M g L z 4 8 L 0 l 0 Z W 0 + P E l 0 Z W 0 + P E l 0 Z W 1 M b 2 N h d G l v b j 4 8 S X R l b V R 5 c G U + R m 9 y b X V s Y T w v S X R l b V R 5 c G U + P E l 0 Z W 1 Q Y X R o P l N l Y 3 R p b 2 4 x L 0 t E U n Z O Q i 9 W b 2 9 y d 2 F h c m R l b G l q a 2 U l M j B r b 2 x v b S U y M G l u Z 2 V 2 b 2 V n Z D Q z P C 9 J d G V t U G F 0 a D 4 8 L 0 l 0 Z W 1 M b 2 N h d G l v b j 4 8 U 3 R h Y m x l R W 5 0 c m l l c y A v P j w v S X R l b T 4 8 S X R l b T 4 8 S X R l b U x v Y 2 F 0 a W 9 u P j x J d G V t V H l w Z T 5 G b 3 J t d W x h P C 9 J d G V t V H l w Z T 4 8 S X R l b V B h d G g + U 2 V j d G l v b j E v S 0 R S d k 5 C L 1 Z v b 3 J 3 Y W F y Z G V s a W p r Z S U y M G t v b G 9 t J T I w a W 5 n Z X Z v Z W d k N D Q 8 L 0 l 0 Z W 1 Q Y X R o P j w v S X R l b U x v Y 2 F 0 a W 9 u P j x T d G F i b G V F b n R y a W V z I C 8 + P C 9 J d G V t P j x J d G V t P j x J d G V t T G 9 j Y X R p b 2 4 + P E l 0 Z W 1 U e X B l P k Z v c m 1 1 b G E 8 L 0 l 0 Z W 1 U e X B l P j x J d G V t U G F 0 a D 5 T Z W N 0 a W 9 u M S 9 L R F J 2 T k I v V m 9 v c n d h Y X J k Z W x p a m t l J T I w a 2 9 s b 2 0 l M j B p b m d l d m 9 l Z 2 Q 0 N T w v S X R l b V B h d G g + P C 9 J d G V t T G 9 j Y X R p b 2 4 + P F N 0 Y W J s Z U V u d H J p Z X M g L z 4 8 L 0 l 0 Z W 0 + P E l 0 Z W 0 + P E l 0 Z W 1 M b 2 N h d G l v b j 4 8 S X R l b V R 5 c G U + R m 9 y b X V s Y T w v S X R l b V R 5 c G U + P E l 0 Z W 1 Q Y X R o P l N l Y 3 R p b 2 4 x L 0 t E U n Z O Q i 9 W b 2 9 y d 2 F h c m R l b G l q a 2 U l M j B r b 2 x v b S U y M G l u Z 2 V 2 b 2 V n Z D Q 2 P C 9 J d G V t U G F 0 a D 4 8 L 0 l 0 Z W 1 M b 2 N h d G l v b j 4 8 U 3 R h Y m x l R W 5 0 c m l l c y A v P j w v S X R l b T 4 8 S X R l b T 4 8 S X R l b U x v Y 2 F 0 a W 9 u P j x J d G V t V H l w Z T 5 G b 3 J t d W x h P C 9 J d G V t V H l w Z T 4 8 S X R l b V B h d G g + U 2 V j d G l v b j E v S 0 R S d k 5 C L 1 Z v b 3 J 3 Y W F y Z G V s a W p r Z S U y M G t v b G 9 t J T I w a W 5 n Z X Z v Z W d k N D c 8 L 0 l 0 Z W 1 Q Y X R o P j w v S X R l b U x v Y 2 F 0 a W 9 u P j x T d G F i b G V F b n R y a W V z I C 8 + P C 9 J d G V t P j x J d G V t P j x J d G V t T G 9 j Y X R p b 2 4 + P E l 0 Z W 1 U e X B l P k Z v c m 1 1 b G E 8 L 0 l 0 Z W 1 U e X B l P j x J d G V t U G F 0 a D 5 T Z W N 0 a W 9 u M S 9 L R F J 2 T k I v V m 9 v c n d h Y X J k Z W x p a m t l J T I w a 2 9 s b 2 0 l M j B p b m d l d m 9 l Z 2 Q 0 O D w v S X R l b V B h d G g + P C 9 J d G V t T G 9 j Y X R p b 2 4 + P F N 0 Y W J s Z U V u d H J p Z X M g L z 4 8 L 0 l 0 Z W 0 + P E l 0 Z W 0 + P E l 0 Z W 1 M b 2 N h d G l v b j 4 8 S X R l b V R 5 c G U + R m 9 y b X V s Y T w v S X R l b V R 5 c G U + P E l 0 Z W 1 Q Y X R o P l N l Y 3 R p b 2 4 x L 0 t E U n Z O Q i 9 W b 2 9 y d 2 F h c m R l b G l q a 2 U l M j B r b 2 x v b S U y M G l u Z 2 V 2 b 2 V n Z D Q 5 P C 9 J d G V t U G F 0 a D 4 8 L 0 l 0 Z W 1 M b 2 N h d G l v b j 4 8 U 3 R h Y m x l R W 5 0 c m l l c y A v P j w v S X R l b T 4 8 S X R l b T 4 8 S X R l b U x v Y 2 F 0 a W 9 u P j x J d G V t V H l w Z T 5 G b 3 J t d W x h P C 9 J d G V t V H l w Z T 4 8 S X R l b V B h d G g + U 2 V j d G l v b j E v S 0 R S d k 5 C L 1 Z v b 3 J 3 Y W F y Z G V s a W p r Z S U y M G t v b G 9 t J T I w a W 5 n Z X Z v Z W d k N T A 8 L 0 l 0 Z W 1 Q Y X R o P j w v S X R l b U x v Y 2 F 0 a W 9 u P j x T d G F i b G V F b n R y a W V z I C 8 + P C 9 J d G V t P j x J d G V t P j x J d G V t T G 9 j Y X R p b 2 4 + P E l 0 Z W 1 U e X B l P k Z v c m 1 1 b G E 8 L 0 l 0 Z W 1 U e X B l P j x J d G V t U G F 0 a D 5 T Z W N 0 a W 9 u M S 9 L R F J 2 T k I v V m 9 v c n d h Y X J k Z W x p a m t l J T I w a 2 9 s b 2 0 l M j B p b m d l d m 9 l Z 2 Q 1 M T w v S X R l b V B h d G g + P C 9 J d G V t T G 9 j Y X R p b 2 4 + P F N 0 Y W J s Z U V u d H J p Z X M g L z 4 8 L 0 l 0 Z W 0 + P E l 0 Z W 0 + P E l 0 Z W 1 M b 2 N h d G l v b j 4 8 S X R l b V R 5 c G U + R m 9 y b X V s Y T w v S X R l b V R 5 c G U + P E l 0 Z W 1 Q Y X R o P l N l Y 3 R p b 2 4 x L 0 t E U n Z O Q i 9 W b 2 9 y d 2 F h c m R l b G l q a 2 U l M j B r b 2 x v b S U y M G l u Z 2 V 2 b 2 V n Z D U y P C 9 J d G V t U G F 0 a D 4 8 L 0 l 0 Z W 1 M b 2 N h d G l v b j 4 8 U 3 R h Y m x l R W 5 0 c m l l c y A v P j w v S X R l b T 4 8 S X R l b T 4 8 S X R l b U x v Y 2 F 0 a W 9 u P j x J d G V t V H l w Z T 5 G b 3 J t d W x h P C 9 J d G V t V H l w Z T 4 8 S X R l b V B h d G g + U 2 V j d G l v b j E v S 0 R S d k 5 C L 1 Z v b 3 J 3 Y W F y Z G V s a W p r Z S U y M G t v b G 9 t J T I w a W 5 n Z X Z v Z W d k N T M 8 L 0 l 0 Z W 1 Q Y X R o P j w v S X R l b U x v Y 2 F 0 a W 9 u P j x T d G F i b G V F b n R y a W V z I C 8 + P C 9 J d G V t P j x J d G V t P j x J d G V t T G 9 j Y X R p b 2 4 + P E l 0 Z W 1 U e X B l P k Z v c m 1 1 b G E 8 L 0 l 0 Z W 1 U e X B l P j x J d G V t U G F 0 a D 5 T Z W N 0 a W 9 u M S 9 L R F J 2 T k I v V m 9 v c n d h Y X J k Z W x p a m t l J T I w a 2 9 s b 2 0 l M j B p b m d l d m 9 l Z 2 Q 1 N D w v S X R l b V B h d G g + P C 9 J d G V t T G 9 j Y X R p b 2 4 + P F N 0 Y W J s Z U V u d H J p Z X M g L z 4 8 L 0 l 0 Z W 0 + P E l 0 Z W 0 + P E l 0 Z W 1 M b 2 N h d G l v b j 4 8 S X R l b V R 5 c G U + R m 9 y b X V s Y T w v S X R l b V R 5 c G U + P E l 0 Z W 1 Q Y X R o P l N l Y 3 R p b 2 4 x L 0 t E U n Z O Q i 9 W b 2 9 y d 2 F h c m R l b G l q a 2 U l M j B r b 2 x v b S U y M G l u Z 2 V 2 b 2 V n Z D U 1 P C 9 J d G V t U G F 0 a D 4 8 L 0 l 0 Z W 1 M b 2 N h d G l v b j 4 8 U 3 R h Y m x l R W 5 0 c m l l c y A v P j w v S X R l b T 4 8 S X R l b T 4 8 S X R l b U x v Y 2 F 0 a W 9 u P j x J d G V t V H l w Z T 5 G b 3 J t d W x h P C 9 J d G V t V H l w Z T 4 8 S X R l b V B h d G g + U 2 V j d G l v b j E v S 0 R S d k 5 C L 1 Z v b 3 J 3 Y W F y Z G V s a W p r Z S U y M G t v b G 9 t J T I w a W 5 n Z X Z v Z W d k N T Y 8 L 0 l 0 Z W 1 Q Y X R o P j w v S X R l b U x v Y 2 F 0 a W 9 u P j x T d G F i b G V F b n R y a W V z I C 8 + P C 9 J d G V t P j x J d G V t P j x J d G V t T G 9 j Y X R p b 2 4 + P E l 0 Z W 1 U e X B l P k Z v c m 1 1 b G E 8 L 0 l 0 Z W 1 U e X B l P j x J d G V t U G F 0 a D 5 T Z W N 0 a W 9 u M S 9 L R F J 2 T k I v V m 9 v c n d h Y X J k Z W x p a m t l J T I w a 2 9 s b 2 0 l M j B p b m d l d m 9 l Z 2 Q 1 N z w v S X R l b V B h d G g + P C 9 J d G V t T G 9 j Y X R p b 2 4 + P F N 0 Y W J s Z U V u d H J p Z X M g L z 4 8 L 0 l 0 Z W 0 + P E l 0 Z W 0 + P E l 0 Z W 1 M b 2 N h d G l v b j 4 8 S X R l b V R 5 c G U + R m 9 y b X V s Y T w v S X R l b V R 5 c G U + P E l 0 Z W 1 Q Y X R o P l N l Y 3 R p b 2 4 x L 0 t E U n Z O Q i 9 W b 2 9 y d 2 F h c m R l b G l q a 2 U l M j B r b 2 x v b S U y M G l u Z 2 V 2 b 2 V n Z D U 4 P C 9 J d G V t U G F 0 a D 4 8 L 0 l 0 Z W 1 M b 2 N h d G l v b j 4 8 U 3 R h Y m x l R W 5 0 c m l l c y A v P j w v S X R l b T 4 8 S X R l b T 4 8 S X R l b U x v Y 2 F 0 a W 9 u P j x J d G V t V H l w Z T 5 G b 3 J t d W x h P C 9 J d G V t V H l w Z T 4 8 S X R l b V B h d G g + U 2 V j d G l v b j E v S 0 R S d k 5 C L 1 Z v b 3 J 3 Y W F y Z G V s a W p r Z S U y M G t v b G 9 t J T I w a W 5 n Z X Z v Z W d k N T k 8 L 0 l 0 Z W 1 Q Y X R o P j w v S X R l b U x v Y 2 F 0 a W 9 u P j x T d G F i b G V F b n R y a W V z I C 8 + P C 9 J d G V t P j x J d G V t P j x J d G V t T G 9 j Y X R p b 2 4 + P E l 0 Z W 1 U e X B l P k Z v c m 1 1 b G E 8 L 0 l 0 Z W 1 U e X B l P j x J d G V t U G F 0 a D 5 T Z W N 0 a W 9 u M S 9 L R F J 2 T k I v Q W F u Z 2 V w Y X N 0 J T I w a X R l b S U y M H R v Z W d l d m 9 l Z 2 Q l M j A x P C 9 J d G V t U G F 0 a D 4 8 L 0 l 0 Z W 1 M b 2 N h d G l v b j 4 8 U 3 R h Y m x l R W 5 0 c m l l c y A v P j w v S X R l b T 4 8 S X R l b T 4 8 S X R l b U x v Y 2 F 0 a W 9 u P j x J d G V t V H l w Z T 5 G b 3 J t d W x h P C 9 J d G V t V H l w Z T 4 8 S X R l b V B h d G g + U 2 V j d G l v b j E v S 0 R S d k 5 C L 0 F h b m d l c G F z d C U y M G l 0 Z W 0 l M j B 0 b 2 V n Z X Z v Z W d k J T I w M j w v S X R l b V B h d G g + P C 9 J d G V t T G 9 j Y X R p b 2 4 + P F N 0 Y W J s Z U V u d H J p Z X M g L z 4 8 L 0 l 0 Z W 0 + P E l 0 Z W 0 + P E l 0 Z W 1 M b 2 N h d G l v b j 4 8 S X R l b V R 5 c G U + R m 9 y b X V s Y T w v S X R l b V R 5 c G U + P E l 0 Z W 1 Q Y X R o P l N l Y 3 R p b 2 4 x L 0 t E U n Z O Q i 9 B Y W 5 n Z X B h c 3 Q l M j B p d G V t J T I w d G 9 l Z 2 V 2 b 2 V n Z C U y M D M 8 L 0 l 0 Z W 1 Q Y X R o P j w v S X R l b U x v Y 2 F 0 a W 9 u P j x T d G F i b G V F b n R y a W V z I C 8 + P C 9 J d G V t P j x J d G V t P j x J d G V t T G 9 j Y X R p b 2 4 + P E l 0 Z W 1 U e X B l P k Z v c m 1 1 b G E 8 L 0 l 0 Z W 1 U e X B l P j x J d G V t U G F 0 a D 5 T Z W N 0 a W 9 u M S 9 L R F J 2 T k I v Q W F u Z 2 V w Y X N 0 J T I w a X R l b S U y M H R v Z W d l d m 9 l Z 2 Q l M j A 0 P C 9 J d G V t U G F 0 a D 4 8 L 0 l 0 Z W 1 M b 2 N h d G l v b j 4 8 U 3 R h Y m x l R W 5 0 c m l l c y A v P j w v S X R l b T 4 8 S X R l b T 4 8 S X R l b U x v Y 2 F 0 a W 9 u P j x J d G V t V H l w Z T 5 G b 3 J t d W x h P C 9 J d G V t V H l w Z T 4 8 S X R l b V B h d G g + U 2 V j d G l v b j E v S 0 R S d k 5 C L 0 t v b G 9 t b W V u J T I w d m V y d 2 l q Z G V y Z C U y M D I 8 L 0 l 0 Z W 1 Q Y X R o P j w v S X R l b U x v Y 2 F 0 a W 9 u P j x T d G F i b G V F b n R y a W V z I C 8 + P C 9 J d G V t P j x J d G V t P j x J d G V t T G 9 j Y X R p b 2 4 + P E l 0 Z W 1 U e X B l P k Z v c m 1 1 b G E 8 L 0 l 0 Z W 1 U e X B l P j x J d G V t U G F 0 a D 5 T Z W N 0 a W 9 u M S 9 L R F J 2 T k I v T m F t Z W 4 l M j B 2 Y W 4 l M j B r b 2 x v b W 1 l b i U y M G d l d 2 l q e m l n Z C U y M D g 8 L 0 l 0 Z W 1 Q Y X R o P j w v S X R l b U x v Y 2 F 0 a W 9 u P j x T d G F i b G V F b n R y a W V z I C 8 + P C 9 J d G V t P j x J d G V t P j x J d G V t T G 9 j Y X R p b 2 4 + P E l 0 Z W 1 U e X B l P k Z v c m 1 1 b G E 8 L 0 l 0 Z W 1 U e X B l P j x J d G V t U G F 0 a D 5 T Z W N 0 a W 9 u M S 9 L R F J 2 T k I v V 2 F h c m R l J T I w a X M l M j B 2 Z X J 2 Y W 5 n Z W 4 l M j A 5 P C 9 J d G V t U G F 0 a D 4 8 L 0 l 0 Z W 1 M b 2 N h d G l v b j 4 8 U 3 R h Y m x l R W 5 0 c m l l c y A v P j w v S X R l b T 4 8 S X R l b T 4 8 S X R l b U x v Y 2 F 0 a W 9 u P j x J d G V t V H l w Z T 5 G b 3 J t d W x h P C 9 J d G V t V H l w Z T 4 8 S X R l b V B h d G g + U 2 V j d G l v b j E v S 0 R S d k 5 C L 1 d h Y X J k Z S U y M G l z J T I w d m V y d m F u Z 2 V u J T I w M j w v S X R l b V B h d G g + P C 9 J d G V t T G 9 j Y X R p b 2 4 + P F N 0 Y W J s Z U V u d H J p Z X M g L z 4 8 L 0 l 0 Z W 0 + P E l 0 Z W 0 + P E l 0 Z W 1 M b 2 N h d G l v b j 4 8 S X R l b V R 5 c G U + R m 9 y b X V s Y T w v S X R l b V R 5 c G U + P E l 0 Z W 1 Q Y X R o P l N l Y 3 R p b 2 4 x L 0 t E U n Z O Q i 9 O Y W 1 l b i U y M H Z h b i U y M G t v b G 9 t b W V u J T I w Z 2 V 3 a W p 6 a W d k J T I w M z w v S X R l b V B h d G g + P C 9 J d G V t T G 9 j Y X R p b 2 4 + P F N 0 Y W J s Z U V u d H J p Z X M g L z 4 8 L 0 l 0 Z W 0 + P E l 0 Z W 0 + P E l 0 Z W 1 M b 2 N h d G l v b j 4 8 S X R l b V R 5 c G U + R m 9 y b X V s Y T w v S X R l b V R 5 c G U + P E l 0 Z W 1 Q Y X R o P l N l Y 3 R p b 2 4 x L 0 t E U n Z O Q i 9 X Y W F y Z G U l M j B p c y U y M H Z l c n Z h b m d l b i U y M D M 8 L 0 l 0 Z W 1 Q Y X R o P j w v S X R l b U x v Y 2 F 0 a W 9 u P j x T d G F i b G V F b n R y a W V z I C 8 + P C 9 J d G V t P j x J d G V t P j x J d G V t T G 9 j Y X R p b 2 4 + P E l 0 Z W 1 U e X B l P k Z v c m 1 1 b G E 8 L 0 l 0 Z W 1 U e X B l P j x J d G V t U G F 0 a D 5 T Z W N 0 a W 9 u M S 9 L R F J 2 T k I v V 2 F h c m R l J T I w a X M l M j B 2 Z X J 2 Y W 5 n Z W 4 l M j A 0 P C 9 J d G V t U G F 0 a D 4 8 L 0 l 0 Z W 1 M b 2 N h d G l v b j 4 8 U 3 R h Y m x l R W 5 0 c m l l c y A v P j w v S X R l b T 4 8 S X R l b T 4 8 S X R l b U x v Y 2 F 0 a W 9 u P j x J d G V t V H l w Z T 5 G b 3 J t d W x h P C 9 J d G V t V H l w Z T 4 8 S X R l b V B h d G g + U 2 V j d G l v b j E v S 0 R S d k 5 C L 0 5 h b W V u J T I w d m F u J T I w a 2 9 s b 2 1 t Z W 4 l M j B n Z X d p a n p p Z 2 Q l M j A 0 P C 9 J d G V t U G F 0 a D 4 8 L 0 l 0 Z W 1 M b 2 N h d G l v b j 4 8 U 3 R h Y m x l R W 5 0 c m l l c y A v P j w v S X R l b T 4 8 S X R l b T 4 8 S X R l b U x v Y 2 F 0 a W 9 u P j x J d G V t V H l w Z T 5 G b 3 J t d W x h P C 9 J d G V t V H l w Z T 4 8 S X R l b V B h d G g + U 2 V j d G l v b j E v S 0 R S d k 5 C L 0 5 h b W V u J T I w d m F u J T I w a 2 9 s b 2 1 t Z W 4 l M j B n Z X d p a n p p Z 2 Q l M j A 1 P C 9 J d G V t U G F 0 a D 4 8 L 0 l 0 Z W 1 M b 2 N h d G l v b j 4 8 U 3 R h Y m x l R W 5 0 c m l l c y A v P j w v S X R l b T 4 8 S X R l b T 4 8 S X R l b U x v Y 2 F 0 a W 9 u P j x J d G V t V H l w Z T 5 G b 3 J t d W x h P C 9 J d G V t V H l w Z T 4 8 S X R l b V B h d G g + U 2 V j d G l v b j E v S 0 R S d k 5 C L 0 t v b G 9 t b W V u J T I w c 2 F t Z W 5 n Z X Z v Z W d k J T I w M T w v S X R l b V B h d G g + P C 9 J d G V t T G 9 j Y X R p b 2 4 + P F N 0 Y W J s Z U V u d H J p Z X M g L z 4 8 L 0 l 0 Z W 0 + P E l 0 Z W 0 + P E l 0 Z W 1 M b 2 N h d G l v b j 4 8 S X R l b V R 5 c G U + R m 9 y b X V s Y T w v S X R l b V R 5 c G U + P E l 0 Z W 1 Q Y X R o P l N l Y 3 R p b 2 4 x L 0 t E U n Z O Q i 9 L b 2 x v b W 1 l b i U y M H N h b W V u Z 2 V 2 b 2 V n Z C U y M D I 8 L 0 l 0 Z W 1 Q Y X R o P j w v S X R l b U x v Y 2 F 0 a W 9 u P j x T d G F i b G V F b n R y a W V z I C 8 + P C 9 J d G V t P j x J d G V t P j x J d G V t T G 9 j Y X R p b 2 4 + P E l 0 Z W 1 U e X B l P k Z v c m 1 1 b G E 8 L 0 l 0 Z W 1 U e X B l P j x J d G V t U G F 0 a D 5 T Z W N 0 a W 9 u M S 9 L R F J 2 T k I v T m F t Z W 4 l M j B 2 Y W 4 l M j B r b 2 x v b W 1 l b i U y M G d l d 2 l q e m l n Z C U y M D Y 8 L 0 l 0 Z W 1 Q Y X R o P j w v S X R l b U x v Y 2 F 0 a W 9 u P j x T d G F i b G V F b n R y a W V z I C 8 + P C 9 J d G V t P j x J d G V t P j x J d G V t T G 9 j Y X R p b 2 4 + P E l 0 Z W 1 U e X B l P k Z v c m 1 1 b G E 8 L 0 l 0 Z W 1 U e X B l P j x J d G V t U G F 0 a D 5 T Z W N 0 a W 9 u M S 9 L R F J 2 T k I v T m F t Z W 4 l M j B 2 Y W 4 l M j B r b 2 x v b W 1 l b i U y M G d l d 2 l q e m l n Z C U y M D c 8 L 0 l 0 Z W 1 Q Y X R o P j w v S X R l b U x v Y 2 F 0 a W 9 u P j x T d G F i b G V F b n R y a W V z I C 8 + P C 9 J d G V t P j x J d G V t P j x J d G V t T G 9 j Y X R p b 2 4 + P E l 0 Z W 1 U e X B l P k Z v c m 1 1 b G E 8 L 0 l 0 Z W 1 U e X B l P j x J d G V t U G F 0 a D 5 T Z W N 0 a W 9 u M S 9 L R F J 2 T k I v V 2 F h c m R l J T I w a X M l M j B 2 Z X J 2 Y W 5 n Z W 4 l M j A 3 P C 9 J d G V t U G F 0 a D 4 8 L 0 l 0 Z W 1 M b 2 N h d G l v b j 4 8 U 3 R h Y m x l R W 5 0 c m l l c y A v P j w v S X R l b T 4 8 S X R l b T 4 8 S X R l b U x v Y 2 F 0 a W 9 u P j x J d G V t V H l w Z T 5 G b 3 J t d W x h P C 9 J d G V t V H l w Z T 4 8 S X R l b V B h d G g + U 2 V j d G l v b j E v S 0 R S d k 5 C L 1 d h Y X J k Z S U y M G l z J T I w d m V y d m F u Z 2 V u J T I w O D w v S X R l b V B h d G g + P C 9 J d G V t T G 9 j Y X R p b 2 4 + P F N 0 Y W J s Z U V u d H J p Z X M g L z 4 8 L 0 l 0 Z W 0 + P E l 0 Z W 0 + P E l 0 Z W 1 M b 2 N h d G l v b j 4 8 S X R l b V R 5 c G U + R m 9 y b X V s Y T w v S X R l b V R 5 c G U + P E l 0 Z W 1 Q Y X R o P l N l Y 3 R p b 2 4 x L 0 t E U n Z O Q i 9 O Y W 1 l b i U y M H Z h b i U y M G t v b G 9 t b W V u J T I w Z 2 V 3 a W p 6 a W d k J T I w O T w v S X R l b V B h d G g + P C 9 J d G V t T G 9 j Y X R p b 2 4 + P F N 0 Y W J s Z U V u d H J p Z X M g L z 4 8 L 0 l 0 Z W 0 + P E l 0 Z W 0 + P E l 0 Z W 1 M b 2 N h d G l v b j 4 8 S X R l b V R 5 c G U + R m 9 y b X V s Y T w v S X R l b V R 5 c G U + P E l 0 Z W 1 Q Y X R o P l N l Y 3 R p b 2 4 x L 0 t E U n Z O Q i 9 I Z X Q l M j B r b 2 x v b X R 5 c G U l M j B p c y U y M G d l d 2 l q e m l n Z C U y M D E 8 L 0 l 0 Z W 1 Q Y X R o P j w v S X R l b U x v Y 2 F 0 a W 9 u P j x T d G F i b G V F b n R y a W V z I C 8 + P C 9 J d G V t P j x J d G V t P j x J d G V t T G 9 j Y X R p b 2 4 + P E l 0 Z W 1 U e X B l P k Z v c m 1 1 b G E 8 L 0 l 0 Z W 1 U e X B l P j x J d G V t U G F 0 a D 5 T Z W N 0 a W 9 u M S 9 L R F J 2 T k I v R 2 V z b 3 J 0 Z W V y Z G U l M j B y a W p l b j w v S X R l b V B h d G g + P C 9 J d G V t T G 9 j Y X R p b 2 4 + P F N 0 Y W J s Z U V u d H J p Z X M g L z 4 8 L 0 l 0 Z W 0 + P E l 0 Z W 0 + P E l 0 Z W 1 M b 2 N h d G l v b j 4 8 S X R l b V R 5 c G U + R m 9 y b X V s Y T w v S X R l b V R 5 c G U + P E l 0 Z W 1 Q Y X R o P l N l Y 3 R p b 2 4 x L 0 Z T R C 9 I Z X Q l M j B r b 2 x v b X R 5 c G U l M j B p c y U y M G d l d 2 l q e m l n Z D w v S X R l b V B h d G g + P C 9 J d G V t T G 9 j Y X R p b 2 4 + P F N 0 Y W J s Z U V u d H J p Z X M g L z 4 8 L 0 l 0 Z W 0 + P E l 0 Z W 0 + P E l 0 Z W 1 M b 2 N h d G l v b j 4 8 S X R l b V R 5 c G U + R m 9 y b X V s Y T w v S X R l b V R 5 c G U + P E l 0 Z W 1 Q Y X R o P l N l Y 3 R p b 2 4 x L 0 Z T R C 9 B Y W 5 n Z X B h c 3 Q l M j B p d G V t J T I w d G 9 l Z 2 V 2 b 2 V n Z D w v S X R l b V B h d G g + P C 9 J d G V t T G 9 j Y X R p b 2 4 + P F N 0 Y W J s Z U V u d H J p Z X M g L z 4 8 L 0 l 0 Z W 0 + P E l 0 Z W 0 + P E l 0 Z W 1 M b 2 N h d G l v b j 4 8 S X R l b V R 5 c G U + R m 9 y b X V s Y T w v S X R l b V R 5 c G U + P E l 0 Z W 1 Q Y X R o P l N l Y 3 R p b 2 4 x L 0 Z T R C 9 W b 2 9 y d 2 F h c m R l b G l q a 2 U l M j B r b 2 x v b S U y M G l u Z 2 V 2 b 2 V n Z D w v S X R l b V B h d G g + P C 9 J d G V t T G 9 j Y X R p b 2 4 + P F N 0 Y W J s Z U V u d H J p Z X M g L z 4 8 L 0 l 0 Z W 0 + P E l 0 Z W 0 + P E l 0 Z W 1 M b 2 N h d G l v b j 4 8 S X R l b V R 5 c G U + R m 9 y b X V s Y T w v S X R l b V R 5 c G U + P E l 0 Z W 1 Q Y X R o P l N l Y 3 R p b 2 4 x L 0 Z T R C 9 B Y W 5 n Z X B h c 3 Q l M j B p d G V t J T I w d G 9 l Z 2 V 2 b 2 V n Z D E 8 L 0 l 0 Z W 1 Q Y X R o P j w v S X R l b U x v Y 2 F 0 a W 9 u P j x T d G F i b G V F b n R y a W V z I C 8 + P C 9 J d G V t P j x J d G V t P j x J d G V t T G 9 j Y X R p b 2 4 + P E l 0 Z W 1 U e X B l P k Z v c m 1 1 b G E 8 L 0 l 0 Z W 1 U e X B l P j x J d G V t U G F 0 a D 5 T Z W N 0 a W 9 u M S 9 G U 0 Q v V m 9 v c n d h Y X J k Z W x p a m t l J T I w a 2 9 s b 2 0 l M j B p b m d l d m 9 l Z 2 Q x P C 9 J d G V t U G F 0 a D 4 8 L 0 l 0 Z W 1 M b 2 N h d G l v b j 4 8 U 3 R h Y m x l R W 5 0 c m l l c y A v P j w v S X R l b T 4 8 S X R l b T 4 8 S X R l b U x v Y 2 F 0 a W 9 u P j x J d G V t V H l w Z T 5 G b 3 J t d W x h P C 9 J d G V t V H l w Z T 4 8 S X R l b V B h d G g + U 2 V j d G l v b j E v R l N E L 0 F h b m d l c G F z d C U y M G l 0 Z W 0 l M j B 0 b 2 V n Z X Z v Z W d k M j w v S X R l b V B h d G g + P C 9 J d G V t T G 9 j Y X R p b 2 4 + P F N 0 Y W J s Z U V u d H J p Z X M g L z 4 8 L 0 l 0 Z W 0 + P E l 0 Z W 0 + P E l 0 Z W 1 M b 2 N h d G l v b j 4 8 S X R l b V R 5 c G U + R m 9 y b X V s Y T w v S X R l b V R 5 c G U + P E l 0 Z W 1 Q Y X R o P l N l Y 3 R p b 2 4 x L 0 Z T R C 9 W b 2 9 y d 2 F h c m R l b G l q a 2 U l M j B r b 2 x v b S U y M G l u Z 2 V 2 b 2 V n Z D I 8 L 0 l 0 Z W 1 Q Y X R o P j w v S X R l b U x v Y 2 F 0 a W 9 u P j x T d G F i b G V F b n R y a W V z I C 8 + P C 9 J d G V t P j x J d G V t P j x J d G V t T G 9 j Y X R p b 2 4 + P E l 0 Z W 1 U e X B l P k Z v c m 1 1 b G E 8 L 0 l 0 Z W 1 U e X B l P j x J d G V t U G F 0 a D 5 T Z W N 0 a W 9 u M S 9 G U 0 Q v Q W F u Z 2 V w Y X N 0 J T I w a X R l b S U y M H R v Z W d l d m 9 l Z 2 Q z P C 9 J d G V t U G F 0 a D 4 8 L 0 l 0 Z W 1 M b 2 N h d G l v b j 4 8 U 3 R h Y m x l R W 5 0 c m l l c y A v P j w v S X R l b T 4 8 S X R l b T 4 8 S X R l b U x v Y 2 F 0 a W 9 u P j x J d G V t V H l w Z T 5 G b 3 J t d W x h P C 9 J d G V t V H l w Z T 4 8 S X R l b V B h d G g + U 2 V j d G l v b j E v R l N E L 1 Z v b 3 J 3 Y W F y Z G V s a W p r Z S U y M G t v b G 9 t J T I w a W 5 n Z X Z v Z W d k M z w v S X R l b V B h d G g + P C 9 J d G V t T G 9 j Y X R p b 2 4 + P F N 0 Y W J s Z U V u d H J p Z X M g L z 4 8 L 0 l 0 Z W 0 + P E l 0 Z W 0 + P E l 0 Z W 1 M b 2 N h d G l v b j 4 8 S X R l b V R 5 c G U + R m 9 y b X V s Y T w v S X R l b V R 5 c G U + P E l 0 Z W 1 Q Y X R o P l N l Y 3 R p b 2 4 x L 0 Z T R C 9 B Y W 5 n Z X B h c 3 Q l M j B p d G V t J T I w d G 9 l Z 2 V 2 b 2 V n Z D Q 8 L 0 l 0 Z W 1 Q Y X R o P j w v S X R l b U x v Y 2 F 0 a W 9 u P j x T d G F i b G V F b n R y a W V z I C 8 + P C 9 J d G V t P j x J d G V t P j x J d G V t T G 9 j Y X R p b 2 4 + P E l 0 Z W 1 U e X B l P k Z v c m 1 1 b G E 8 L 0 l 0 Z W 1 U e X B l P j x J d G V t U G F 0 a D 5 T Z W N 0 a W 9 u M S 9 G U 0 Q v V m 9 v c n d h Y X J k Z W x p a m t l J T I w a 2 9 s b 2 0 l M j B p b m d l d m 9 l Z 2 Q 0 P C 9 J d G V t U G F 0 a D 4 8 L 0 l 0 Z W 1 M b 2 N h d G l v b j 4 8 U 3 R h Y m x l R W 5 0 c m l l c y A v P j w v S X R l b T 4 8 S X R l b T 4 8 S X R l b U x v Y 2 F 0 a W 9 u P j x J d G V t V H l w Z T 5 G b 3 J t d W x h P C 9 J d G V t V H l w Z T 4 8 S X R l b V B h d G g + U 2 V j d G l v b j E v R l N E L 0 F h b m d l c G F z d C U y M G l 0 Z W 0 l M j B 0 b 2 V n Z X Z v Z W d k N T w v S X R l b V B h d G g + P C 9 J d G V t T G 9 j Y X R p b 2 4 + P F N 0 Y W J s Z U V u d H J p Z X M g L z 4 8 L 0 l 0 Z W 0 + P E l 0 Z W 0 + P E l 0 Z W 1 M b 2 N h d G l v b j 4 8 S X R l b V R 5 c G U + R m 9 y b X V s Y T w v S X R l b V R 5 c G U + P E l 0 Z W 1 Q Y X R o P l N l Y 3 R p b 2 4 x L 0 Z T R C 9 W b 2 9 y d 2 F h c m R l b G l q a 2 U l M j B r b 2 x v b S U y M G l u Z 2 V 2 b 2 V n Z D U 8 L 0 l 0 Z W 1 Q Y X R o P j w v S X R l b U x v Y 2 F 0 a W 9 u P j x T d G F i b G V F b n R y a W V z I C 8 + P C 9 J d G V t P j x J d G V t P j x J d G V t T G 9 j Y X R p b 2 4 + P E l 0 Z W 1 U e X B l P k Z v c m 1 1 b G E 8 L 0 l 0 Z W 1 U e X B l P j x J d G V t U G F 0 a D 5 T Z W N 0 a W 9 u M S 9 G U 0 Q v Q W F u Z 2 V w Y X N 0 J T I w a X R l b S U y M H R v Z W d l d m 9 l Z 2 Q 2 P C 9 J d G V t U G F 0 a D 4 8 L 0 l 0 Z W 1 M b 2 N h d G l v b j 4 8 U 3 R h Y m x l R W 5 0 c m l l c y A v P j w v S X R l b T 4 8 S X R l b T 4 8 S X R l b U x v Y 2 F 0 a W 9 u P j x J d G V t V H l w Z T 5 G b 3 J t d W x h P C 9 J d G V t V H l w Z T 4 8 S X R l b V B h d G g + U 2 V j d G l v b j E v R l N E L 1 Z v b 3 J 3 Y W F y Z G V s a W p r Z S U y M G t v b G 9 t J T I w a W 5 n Z X Z v Z W d k N j w v S X R l b V B h d G g + P C 9 J d G V t T G 9 j Y X R p b 2 4 + P F N 0 Y W J s Z U V u d H J p Z X M g L z 4 8 L 0 l 0 Z W 0 + P E l 0 Z W 0 + P E l 0 Z W 1 M b 2 N h d G l v b j 4 8 S X R l b V R 5 c G U + R m 9 y b X V s Y T w v S X R l b V R 5 c G U + P E l 0 Z W 1 Q Y X R o P l N l Y 3 R p b 2 4 x L 0 Z T R C 9 B Y W 5 n Z X B h c 3 Q l M j B p d G V t J T I w d G 9 l Z 2 V 2 b 2 V n Z D c 8 L 0 l 0 Z W 1 Q Y X R o P j w v S X R l b U x v Y 2 F 0 a W 9 u P j x T d G F i b G V F b n R y a W V z I C 8 + P C 9 J d G V t P j x J d G V t P j x J d G V t T G 9 j Y X R p b 2 4 + P E l 0 Z W 1 U e X B l P k Z v c m 1 1 b G E 8 L 0 l 0 Z W 1 U e X B l P j x J d G V t U G F 0 a D 5 T Z W N 0 a W 9 u M S 9 G U 0 Q v V m 9 v c n d h Y X J k Z W x p a m t l J T I w a 2 9 s b 2 0 l M j B p b m d l d m 9 l Z 2 Q 3 P C 9 J d G V t U G F 0 a D 4 8 L 0 l 0 Z W 1 M b 2 N h d G l v b j 4 8 U 3 R h Y m x l R W 5 0 c m l l c y A v P j w v S X R l b T 4 8 S X R l b T 4 8 S X R l b U x v Y 2 F 0 a W 9 u P j x J d G V t V H l w Z T 5 G b 3 J t d W x h P C 9 J d G V t V H l w Z T 4 8 S X R l b V B h d G g + U 2 V j d G l v b j E v R l N E L 0 F h b m d l c G F z d C U y M G l 0 Z W 0 l M j B 0 b 2 V n Z X Z v Z W d k O D w v S X R l b V B h d G g + P C 9 J d G V t T G 9 j Y X R p b 2 4 + P F N 0 Y W J s Z U V u d H J p Z X M g L z 4 8 L 0 l 0 Z W 0 + P E l 0 Z W 0 + P E l 0 Z W 1 M b 2 N h d G l v b j 4 8 S X R l b V R 5 c G U + R m 9 y b X V s Y T w v S X R l b V R 5 c G U + P E l 0 Z W 1 Q Y X R o P l N l Y 3 R p b 2 4 x L 0 Z T R C 9 W b 2 9 y d 2 F h c m R l b G l q a 2 U l M j B r b 2 x v b S U y M G l u Z 2 V 2 b 2 V n Z D g 8 L 0 l 0 Z W 1 Q Y X R o P j w v S X R l b U x v Y 2 F 0 a W 9 u P j x T d G F i b G V F b n R y a W V z I C 8 + P C 9 J d G V t P j x J d G V t P j x J d G V t T G 9 j Y X R p b 2 4 + P E l 0 Z W 1 U e X B l P k Z v c m 1 1 b G E 8 L 0 l 0 Z W 1 U e X B l P j x J d G V t U G F 0 a D 5 T Z W N 0 a W 9 u M S 9 G U 0 Q v Q W F u Z 2 V w Y X N 0 J T I w a X R l b S U y M H R v Z W d l d m 9 l Z 2 Q 5 P C 9 J d G V t U G F 0 a D 4 8 L 0 l 0 Z W 1 M b 2 N h d G l v b j 4 8 U 3 R h Y m x l R W 5 0 c m l l c y A v P j w v S X R l b T 4 8 S X R l b T 4 8 S X R l b U x v Y 2 F 0 a W 9 u P j x J d G V t V H l w Z T 5 G b 3 J t d W x h P C 9 J d G V t V H l w Z T 4 8 S X R l b V B h d G g + U 2 V j d G l v b j E v R l N E L 1 Z v b 3 J 3 Y W F y Z G V s a W p r Z S U y M G t v b G 9 t J T I w a W 5 n Z X Z v Z W d k O T w v S X R l b V B h d G g + P C 9 J d G V t T G 9 j Y X R p b 2 4 + P F N 0 Y W J s Z U V u d H J p Z X M g L z 4 8 L 0 l 0 Z W 0 + P E l 0 Z W 0 + P E l 0 Z W 1 M b 2 N h d G l v b j 4 8 S X R l b V R 5 c G U + R m 9 y b X V s Y T w v S X R l b V R 5 c G U + P E l 0 Z W 1 Q Y X R o P l N l Y 3 R p b 2 4 x L 0 Z T R C 9 B Y W 5 n Z X B h c 3 Q l M j B p d G V t J T I w d G 9 l Z 2 V 2 b 2 V n Z D E w P C 9 J d G V t U G F 0 a D 4 8 L 0 l 0 Z W 1 M b 2 N h d G l v b j 4 8 U 3 R h Y m x l R W 5 0 c m l l c y A v P j w v S X R l b T 4 8 S X R l b T 4 8 S X R l b U x v Y 2 F 0 a W 9 u P j x J d G V t V H l w Z T 5 G b 3 J t d W x h P C 9 J d G V t V H l w Z T 4 8 S X R l b V B h d G g + U 2 V j d G l v b j E v R l N E L 1 Z v b 3 J 3 Y W F y Z G V s a W p r Z S U y M G t v b G 9 t J T I w a W 5 n Z X Z v Z W d k M T A 8 L 0 l 0 Z W 1 Q Y X R o P j w v S X R l b U x v Y 2 F 0 a W 9 u P j x T d G F i b G V F b n R y a W V z I C 8 + P C 9 J d G V t P j x J d G V t P j x J d G V t T G 9 j Y X R p b 2 4 + P E l 0 Z W 1 U e X B l P k Z v c m 1 1 b G E 8 L 0 l 0 Z W 1 U e X B l P j x J d G V t U G F 0 a D 5 T Z W N 0 a W 9 u M S 9 G U 0 Q v Q W F u Z 2 V w Y X N 0 J T I w a X R l b S U y M H R v Z W d l d m 9 l Z 2 Q x M T w v S X R l b V B h d G g + P C 9 J d G V t T G 9 j Y X R p b 2 4 + P F N 0 Y W J s Z U V u d H J p Z X M g L z 4 8 L 0 l 0 Z W 0 + P E l 0 Z W 0 + P E l 0 Z W 1 M b 2 N h d G l v b j 4 8 S X R l b V R 5 c G U + R m 9 y b X V s Y T w v S X R l b V R 5 c G U + P E l 0 Z W 1 Q Y X R o P l N l Y 3 R p b 2 4 x L 0 Z T R C 9 W b 2 9 y d 2 F h c m R l b G l q a 2 U l M j B r b 2 x v b S U y M G l u Z 2 V 2 b 2 V n Z D E x P C 9 J d G V t U G F 0 a D 4 8 L 0 l 0 Z W 1 M b 2 N h d G l v b j 4 8 U 3 R h Y m x l R W 5 0 c m l l c y A v P j w v S X R l b T 4 8 S X R l b T 4 8 S X R l b U x v Y 2 F 0 a W 9 u P j x J d G V t V H l w Z T 5 G b 3 J t d W x h P C 9 J d G V t V H l w Z T 4 8 S X R l b V B h d G g + U 2 V j d G l v b j E v R l N E L 0 F h b m d l c G F z d C U y M G l 0 Z W 0 l M j B 0 b 2 V n Z X Z v Z W d k M T I 8 L 0 l 0 Z W 1 Q Y X R o P j w v S X R l b U x v Y 2 F 0 a W 9 u P j x T d G F i b G V F b n R y a W V z I C 8 + P C 9 J d G V t P j x J d G V t P j x J d G V t T G 9 j Y X R p b 2 4 + P E l 0 Z W 1 U e X B l P k Z v c m 1 1 b G E 8 L 0 l 0 Z W 1 U e X B l P j x J d G V t U G F 0 a D 5 T Z W N 0 a W 9 u M S 9 G U 0 Q v V m 9 v c n d h Y X J k Z W x p a m t l J T I w a 2 9 s b 2 0 l M j B p b m d l d m 9 l Z 2 Q x M j w v S X R l b V B h d G g + P C 9 J d G V t T G 9 j Y X R p b 2 4 + P F N 0 Y W J s Z U V u d H J p Z X M g L z 4 8 L 0 l 0 Z W 0 + P E l 0 Z W 0 + P E l 0 Z W 1 M b 2 N h d G l v b j 4 8 S X R l b V R 5 c G U + R m 9 y b X V s Y T w v S X R l b V R 5 c G U + P E l 0 Z W 1 Q Y X R o P l N l Y 3 R p b 2 4 x L 0 Z T R C 9 B Y W 5 n Z X B h c 3 Q l M j B p d G V t J T I w d G 9 l Z 2 V 2 b 2 V n Z D E z P C 9 J d G V t U G F 0 a D 4 8 L 0 l 0 Z W 1 M b 2 N h d G l v b j 4 8 U 3 R h Y m x l R W 5 0 c m l l c y A v P j w v S X R l b T 4 8 S X R l b T 4 8 S X R l b U x v Y 2 F 0 a W 9 u P j x J d G V t V H l w Z T 5 G b 3 J t d W x h P C 9 J d G V t V H l w Z T 4 8 S X R l b V B h d G g + U 2 V j d G l v b j E v R l N E L 1 Z v b 3 J 3 Y W F y Z G V s a W p r Z S U y M G t v b G 9 t J T I w a W 5 n Z X Z v Z W d k M T M 8 L 0 l 0 Z W 1 Q Y X R o P j w v S X R l b U x v Y 2 F 0 a W 9 u P j x T d G F i b G V F b n R y a W V z I C 8 + P C 9 J d G V t P j x J d G V t P j x J d G V t T G 9 j Y X R p b 2 4 + P E l 0 Z W 1 U e X B l P k Z v c m 1 1 b G E 8 L 0 l 0 Z W 1 U e X B l P j x J d G V t U G F 0 a D 5 T Z W N 0 a W 9 u M S 9 G U 0 Q v Q W F u Z 2 V w Y X N 0 J T I w a X R l b S U y M H R v Z W d l d m 9 l Z 2 Q x N D w v S X R l b V B h d G g + P C 9 J d G V t T G 9 j Y X R p b 2 4 + P F N 0 Y W J s Z U V u d H J p Z X M g L z 4 8 L 0 l 0 Z W 0 + P E l 0 Z W 0 + P E l 0 Z W 1 M b 2 N h d G l v b j 4 8 S X R l b V R 5 c G U + R m 9 y b X V s Y T w v S X R l b V R 5 c G U + P E l 0 Z W 1 Q Y X R o P l N l Y 3 R p b 2 4 x L 0 Z T R C 9 W b 2 9 y d 2 F h c m R l b G l q a 2 U l M j B r b 2 x v b S U y M G l u Z 2 V 2 b 2 V n Z D E 0 P C 9 J d G V t U G F 0 a D 4 8 L 0 l 0 Z W 1 M b 2 N h d G l v b j 4 8 U 3 R h Y m x l R W 5 0 c m l l c y A v P j w v S X R l b T 4 8 S X R l b T 4 8 S X R l b U x v Y 2 F 0 a W 9 u P j x J d G V t V H l w Z T 5 G b 3 J t d W x h P C 9 J d G V t V H l w Z T 4 8 S X R l b V B h d G g + U 2 V j d G l v b j E v R l N E L 0 F h b m d l c G F z d C U y M G l 0 Z W 0 l M j B 0 b 2 V n Z X Z v Z W d k M T U 8 L 0 l 0 Z W 1 Q Y X R o P j w v S X R l b U x v Y 2 F 0 a W 9 u P j x T d G F i b G V F b n R y a W V z I C 8 + P C 9 J d G V t P j x J d G V t P j x J d G V t T G 9 j Y X R p b 2 4 + P E l 0 Z W 1 U e X B l P k Z v c m 1 1 b G E 8 L 0 l 0 Z W 1 U e X B l P j x J d G V t U G F 0 a D 5 T Z W N 0 a W 9 u M S 9 G U 0 Q v V m 9 v c n d h Y X J k Z W x p a m t l J T I w a 2 9 s b 2 0 l M j B p b m d l d m 9 l Z 2 Q x N T w v S X R l b V B h d G g + P C 9 J d G V t T G 9 j Y X R p b 2 4 + P F N 0 Y W J s Z U V u d H J p Z X M g L z 4 8 L 0 l 0 Z W 0 + P E l 0 Z W 0 + P E l 0 Z W 1 M b 2 N h d G l v b j 4 8 S X R l b V R 5 c G U + R m 9 y b X V s Y T w v S X R l b V R 5 c G U + P E l 0 Z W 1 Q Y X R o P l N l Y 3 R p b 2 4 x L 0 Z T R C 9 B Y W 5 n Z X B h c 3 Q l M j B p d G V t J T I w d G 9 l Z 2 V 2 b 2 V n Z D E 2 P C 9 J d G V t U G F 0 a D 4 8 L 0 l 0 Z W 1 M b 2 N h d G l v b j 4 8 U 3 R h Y m x l R W 5 0 c m l l c y A v P j w v S X R l b T 4 8 S X R l b T 4 8 S X R l b U x v Y 2 F 0 a W 9 u P j x J d G V t V H l w Z T 5 G b 3 J t d W x h P C 9 J d G V t V H l w Z T 4 8 S X R l b V B h d G g + U 2 V j d G l v b j E v R l N E L 1 Z v b 3 J 3 Y W F y Z G V s a W p r Z S U y M G t v b G 9 t J T I w a W 5 n Z X Z v Z W d k M T Y 8 L 0 l 0 Z W 1 Q Y X R o P j w v S X R l b U x v Y 2 F 0 a W 9 u P j x T d G F i b G V F b n R y a W V z I C 8 + P C 9 J d G V t P j x J d G V t P j x J d G V t T G 9 j Y X R p b 2 4 + P E l 0 Z W 1 U e X B l P k Z v c m 1 1 b G E 8 L 0 l 0 Z W 1 U e X B l P j x J d G V t U G F 0 a D 5 T Z W N 0 a W 9 u M S 9 G U 0 Q v Q W F u Z 2 V w Y X N 0 J T I w a X R l b S U y M H R v Z W d l d m 9 l Z 2 Q x N z w v S X R l b V B h d G g + P C 9 J d G V t T G 9 j Y X R p b 2 4 + P F N 0 Y W J s Z U V u d H J p Z X M g L z 4 8 L 0 l 0 Z W 0 + P E l 0 Z W 0 + P E l 0 Z W 1 M b 2 N h d G l v b j 4 8 S X R l b V R 5 c G U + R m 9 y b X V s Y T w v S X R l b V R 5 c G U + P E l 0 Z W 1 Q Y X R o P l N l Y 3 R p b 2 4 x L 0 Z T R C 9 W b 2 9 y d 2 F h c m R l b G l q a 2 U l M j B r b 2 x v b S U y M G l u Z 2 V 2 b 2 V n Z D E 3 P C 9 J d G V t U G F 0 a D 4 8 L 0 l 0 Z W 1 M b 2 N h d G l v b j 4 8 U 3 R h Y m x l R W 5 0 c m l l c y A v P j w v S X R l b T 4 8 S X R l b T 4 8 S X R l b U x v Y 2 F 0 a W 9 u P j x J d G V t V H l w Z T 5 G b 3 J t d W x h P C 9 J d G V t V H l w Z T 4 8 S X R l b V B h d G g + U 2 V j d G l v b j E v R l N E L 0 F h b m d l c G F z d C U y M G l 0 Z W 0 l M j B 0 b 2 V n Z X Z v Z W d k M T g 8 L 0 l 0 Z W 1 Q Y X R o P j w v S X R l b U x v Y 2 F 0 a W 9 u P j x T d G F i b G V F b n R y a W V z I C 8 + P C 9 J d G V t P j x J d G V t P j x J d G V t T G 9 j Y X R p b 2 4 + P E l 0 Z W 1 U e X B l P k Z v c m 1 1 b G E 8 L 0 l 0 Z W 1 U e X B l P j x J d G V t U G F 0 a D 5 T Z W N 0 a W 9 u M S 9 G U 0 Q v V m 9 v c n d h Y X J k Z W x p a m t l J T I w a 2 9 s b 2 0 l M j B p b m d l d m 9 l Z 2 Q x O D w v S X R l b V B h d G g + P C 9 J d G V t T G 9 j Y X R p b 2 4 + P F N 0 Y W J s Z U V u d H J p Z X M g L z 4 8 L 0 l 0 Z W 0 + P E l 0 Z W 0 + P E l 0 Z W 1 M b 2 N h d G l v b j 4 8 S X R l b V R 5 c G U + R m 9 y b X V s Y T w v S X R l b V R 5 c G U + P E l 0 Z W 1 Q Y X R o P l N l Y 3 R p b 2 4 x L 0 Z T R C 9 B Y W 5 n Z X B h c 3 Q l M j B p d G V t J T I w d G 9 l Z 2 V 2 b 2 V n Z D E 5 P C 9 J d G V t U G F 0 a D 4 8 L 0 l 0 Z W 1 M b 2 N h d G l v b j 4 8 U 3 R h Y m x l R W 5 0 c m l l c y A v P j w v S X R l b T 4 8 S X R l b T 4 8 S X R l b U x v Y 2 F 0 a W 9 u P j x J d G V t V H l w Z T 5 G b 3 J t d W x h P C 9 J d G V t V H l w Z T 4 8 S X R l b V B h d G g + U 2 V j d G l v b j E v R l N E L 1 Z v b 3 J 3 Y W F y Z G V s a W p r Z S U y M G t v b G 9 t J T I w a W 5 n Z X Z v Z W d k M T k 8 L 0 l 0 Z W 1 Q Y X R o P j w v S X R l b U x v Y 2 F 0 a W 9 u P j x T d G F i b G V F b n R y a W V z I C 8 + P C 9 J d G V t P j x J d G V t P j x J d G V t T G 9 j Y X R p b 2 4 + P E l 0 Z W 1 U e X B l P k Z v c m 1 1 b G E 8 L 0 l 0 Z W 1 U e X B l P j x J d G V t U G F 0 a D 5 T Z W N 0 a W 9 u M S 9 G U 0 Q v Q W F u Z 2 V w Y X N 0 J T I w a X R l b S U y M H R v Z W d l d m 9 l Z 2 Q y M D w v S X R l b V B h d G g + P C 9 J d G V t T G 9 j Y X R p b 2 4 + P F N 0 Y W J s Z U V u d H J p Z X M g L z 4 8 L 0 l 0 Z W 0 + P E l 0 Z W 0 + P E l 0 Z W 1 M b 2 N h d G l v b j 4 8 S X R l b V R 5 c G U + R m 9 y b X V s Y T w v S X R l b V R 5 c G U + P E l 0 Z W 1 Q Y X R o P l N l Y 3 R p b 2 4 x L 0 Z T R C 9 B Y W 5 n Z X B h c 3 Q l M j B p d G V t J T I w d G 9 l Z 2 V 2 b 2 V n Z D I x P C 9 J d G V t U G F 0 a D 4 8 L 0 l 0 Z W 1 M b 2 N h d G l v b j 4 8 U 3 R h Y m x l R W 5 0 c m l l c y A v P j w v S X R l b T 4 8 S X R l b T 4 8 S X R l b U x v Y 2 F 0 a W 9 u P j x J d G V t V H l w Z T 5 G b 3 J t d W x h P C 9 J d G V t V H l w Z T 4 8 S X R l b V B h d G g + U 2 V j d G l v b j E v R l N E L 0 F h b m d l c G F z d C U y M G l 0 Z W 0 l M j B 0 b 2 V n Z X Z v Z W d k M j I 8 L 0 l 0 Z W 1 Q Y X R o P j w v S X R l b U x v Y 2 F 0 a W 9 u P j x T d G F i b G V F b n R y a W V z I C 8 + P C 9 J d G V t P j x J d G V t P j x J d G V t T G 9 j Y X R p b 2 4 + P E l 0 Z W 1 U e X B l P k Z v c m 1 1 b G E 8 L 0 l 0 Z W 1 U e X B l P j x J d G V t U G F 0 a D 5 T Z W N 0 a W 9 u M S 9 G U 0 Q v T m F t Z W 4 l M j B 2 Y W 4 l M j B r b 2 x v b W 1 l b i U y M G d l d 2 l q e m l n Z C U y M D E 8 L 0 l 0 Z W 1 Q Y X R o P j w v S X R l b U x v Y 2 F 0 a W 9 u P j x T d G F i b G V F b n R y a W V z I C 8 + P C 9 J d G V t P j x J d G V t P j x J d G V t T G 9 j Y X R p b 2 4 + P E l 0 Z W 1 U e X B l P k Z v c m 1 1 b G E 8 L 0 l 0 Z W 1 U e X B l P j x J d G V t U G F 0 a D 5 T Z W N 0 a W 9 u M S 9 G U 0 Q v T m F t Z W 4 l M j B 2 Y W 4 l M j B r b 2 x v b W 1 l b i U y M G d l d 2 l q e m l n Z C U y M D I 8 L 0 l 0 Z W 1 Q Y X R o P j w v S X R l b U x v Y 2 F 0 a W 9 u P j x T d G F i b G V F b n R y a W V z I C 8 + P C 9 J d G V t P j x J d G V t P j x J d G V t T G 9 j Y X R p b 2 4 + P E l 0 Z W 1 U e X B l P k Z v c m 1 1 b G E 8 L 0 l 0 Z W 1 U e X B l P j x J d G V t U G F 0 a D 5 T Z W N 0 a W 9 u M S 9 G U 0 Q v S 2 9 s b 2 1 t Z W 4 l M j B 2 Z X J 3 a W p k Z X J k J T I w M T w v S X R l b V B h d G g + P C 9 J d G V t T G 9 j Y X R p b 2 4 + P F N 0 Y W J s Z U V u d H J p Z X M g L z 4 8 L 0 l 0 Z W 0 + P E l 0 Z W 0 + P E l 0 Z W 1 M b 2 N h d G l v b j 4 8 S X R l b V R 5 c G U + R m 9 y b X V s Y T w v S X R l b V R 5 c G U + P E l 0 Z W 1 Q Y X R o P l N l Y 3 R p b 2 4 x L 0 Z T R C 9 B Y W 5 n Z X B h c 3 Q l M j B p d G V t J T I w d G 9 l Z 2 V 2 b 2 V n Z D I 4 P C 9 J d G V t U G F 0 a D 4 8 L 0 l 0 Z W 1 M b 2 N h d G l v b j 4 8 U 3 R h Y m x l R W 5 0 c m l l c y A v P j w v S X R l b T 4 8 S X R l b T 4 8 S X R l b U x v Y 2 F 0 a W 9 u P j x J d G V t V H l w Z T 5 G b 3 J t d W x h P C 9 J d G V t V H l w Z T 4 8 S X R l b V B h d G g + U 2 V j d G l v b j E v R l N E L 0 F h b m d l c G F z d C U y M G l 0 Z W 0 l M j B 0 b 2 V n Z X Z v Z W d k M j k 8 L 0 l 0 Z W 1 Q Y X R o P j w v S X R l b U x v Y 2 F 0 a W 9 u P j x T d G F i b G V F b n R y a W V z I C 8 + P C 9 J d G V t P j x J d G V t P j x J d G V t T G 9 j Y X R p b 2 4 + P E l 0 Z W 1 U e X B l P k Z v c m 1 1 b G E 8 L 0 l 0 Z W 1 U e X B l P j x J d G V t U G F 0 a D 5 T Z W N 0 a W 9 u M S 9 G U 0 Q v Q W F u Z 2 V w Y X N 0 J T I w a X R l b S U y M H R v Z W d l d m 9 l Z 2 Q z M D w v S X R l b V B h d G g + P C 9 J d G V t T G 9 j Y X R p b 2 4 + P F N 0 Y W J s Z U V u d H J p Z X M g L z 4 8 L 0 l 0 Z W 0 + P E l 0 Z W 0 + P E l 0 Z W 1 M b 2 N h d G l v b j 4 8 S X R l b V R 5 c G U + R m 9 y b X V s Y T w v S X R l b V R 5 c G U + P E l 0 Z W 1 Q Y X R o P l N l Y 3 R p b 2 4 x L 0 Z T R C 9 B Y W 5 n Z X B h c 3 Q l M j B p d G V t J T I w d G 9 l Z 2 V 2 b 2 V n Z D M x P C 9 J d G V t U G F 0 a D 4 8 L 0 l 0 Z W 1 M b 2 N h d G l v b j 4 8 U 3 R h Y m x l R W 5 0 c m l l c y A v P j w v S X R l b T 4 8 S X R l b T 4 8 S X R l b U x v Y 2 F 0 a W 9 u P j x J d G V t V H l w Z T 5 G b 3 J t d W x h P C 9 J d G V t V H l w Z T 4 8 S X R l b V B h d G g + U 2 V j d G l v b j E v R l N E L 0 F h b m d l c G F z d C U y M G l 0 Z W 0 l M j B 0 b 2 V n Z X Z v Z W d k M z I 8 L 0 l 0 Z W 1 Q Y X R o P j w v S X R l b U x v Y 2 F 0 a W 9 u P j x T d G F i b G V F b n R y a W V z I C 8 + P C 9 J d G V t P j x J d G V t P j x J d G V t T G 9 j Y X R p b 2 4 + P E l 0 Z W 1 U e X B l P k Z v c m 1 1 b G E 8 L 0 l 0 Z W 1 U e X B l P j x J d G V t U G F 0 a D 5 T Z W N 0 a W 9 u M S 9 G U 0 Q v Q W F u Z 2 V w Y X N 0 J T I w a X R l b S U y M H R v Z W d l d m 9 l Z 2 Q z M z w v S X R l b V B h d G g + P C 9 J d G V t T G 9 j Y X R p b 2 4 + P F N 0 Y W J s Z U V u d H J p Z X M g L z 4 8 L 0 l 0 Z W 0 + P E l 0 Z W 0 + P E l 0 Z W 1 M b 2 N h d G l v b j 4 8 S X R l b V R 5 c G U + R m 9 y b X V s Y T w v S X R l b V R 5 c G U + P E l 0 Z W 1 Q Y X R o P l N l Y 3 R p b 2 4 x L 0 Z T R C 9 B Y W 5 n Z X B h c 3 Q l M j B p d G V t J T I w d G 9 l Z 2 V 2 b 2 V n Z D M 0 P C 9 J d G V t U G F 0 a D 4 8 L 0 l 0 Z W 1 M b 2 N h d G l v b j 4 8 U 3 R h Y m x l R W 5 0 c m l l c y A v P j w v S X R l b T 4 8 S X R l b T 4 8 S X R l b U x v Y 2 F 0 a W 9 u P j x J d G V t V H l w Z T 5 G b 3 J t d W x h P C 9 J d G V t V H l w Z T 4 8 S X R l b V B h d G g + U 2 V j d G l v b j E v R l N E L 0 F h b m d l c G F z d C U y M G l 0 Z W 0 l M j B 0 b 2 V n Z X Z v Z W d k M z U 8 L 0 l 0 Z W 1 Q Y X R o P j w v S X R l b U x v Y 2 F 0 a W 9 u P j x T d G F i b G V F b n R y a W V z I C 8 + P C 9 J d G V t P j x J d G V t P j x J d G V t T G 9 j Y X R p b 2 4 + P E l 0 Z W 1 U e X B l P k Z v c m 1 1 b G E 8 L 0 l 0 Z W 1 U e X B l P j x J d G V t U G F 0 a D 5 T Z W N 0 a W 9 u M S 9 G U 0 Q v Q W F u Z 2 V w Y X N 0 J T I w a X R l b S U y M H R v Z W d l d m 9 l Z 2 Q z N j w v S X R l b V B h d G g + P C 9 J d G V t T G 9 j Y X R p b 2 4 + P F N 0 Y W J s Z U V u d H J p Z X M g L z 4 8 L 0 l 0 Z W 0 + P E l 0 Z W 0 + P E l 0 Z W 1 M b 2 N h d G l v b j 4 8 S X R l b V R 5 c G U + R m 9 y b X V s Y T w v S X R l b V R 5 c G U + P E l 0 Z W 1 Q Y X R o P l N l Y 3 R p b 2 4 x L 0 Z T R C 9 B Y W 5 n Z X B h c 3 Q l M j B p d G V t J T I w d G 9 l Z 2 V 2 b 2 V n Z D M 3 P C 9 J d G V t U G F 0 a D 4 8 L 0 l 0 Z W 1 M b 2 N h d G l v b j 4 8 U 3 R h Y m x l R W 5 0 c m l l c y A v P j w v S X R l b T 4 8 S X R l b T 4 8 S X R l b U x v Y 2 F 0 a W 9 u P j x J d G V t V H l w Z T 5 G b 3 J t d W x h P C 9 J d G V t V H l w Z T 4 8 S X R l b V B h d G g + U 2 V j d G l v b j E v R l N E L 0 F h b m d l c G F z d C U y M G l 0 Z W 0 l M j B 0 b 2 V n Z X Z v Z W d k M z g 8 L 0 l 0 Z W 1 Q Y X R o P j w v S X R l b U x v Y 2 F 0 a W 9 u P j x T d G F i b G V F b n R y a W V z I C 8 + P C 9 J d G V t P j x J d G V t P j x J d G V t T G 9 j Y X R p b 2 4 + P E l 0 Z W 1 U e X B l P k Z v c m 1 1 b G E 8 L 0 l 0 Z W 1 U e X B l P j x J d G V t U G F 0 a D 5 T Z W N 0 a W 9 u M S 9 G U 0 Q v Q W F u Z 2 V w Y X N 0 J T I w a X R l b S U y M H R v Z W d l d m 9 l Z 2 Q z O T w v S X R l b V B h d G g + P C 9 J d G V t T G 9 j Y X R p b 2 4 + P F N 0 Y W J s Z U V u d H J p Z X M g L z 4 8 L 0 l 0 Z W 0 + P E l 0 Z W 0 + P E l 0 Z W 1 M b 2 N h d G l v b j 4 8 S X R l b V R 5 c G U + R m 9 y b X V s Y T w v S X R l b V R 5 c G U + P E l 0 Z W 1 Q Y X R o P l N l Y 3 R p b 2 4 x L 0 Z T R C 9 B Y W 5 n Z X B h c 3 Q l M j B p d G V t J T I w d G 9 l Z 2 V 2 b 2 V n Z D Q w P C 9 J d G V t U G F 0 a D 4 8 L 0 l 0 Z W 1 M b 2 N h d G l v b j 4 8 U 3 R h Y m x l R W 5 0 c m l l c y A v P j w v S X R l b T 4 8 S X R l b T 4 8 S X R l b U x v Y 2 F 0 a W 9 u P j x J d G V t V H l w Z T 5 G b 3 J t d W x h P C 9 J d G V t V H l w Z T 4 8 S X R l b V B h d G g + U 2 V j d G l v b j E v R l N E L 0 F h b m d l c G F z d C U y M G l 0 Z W 0 l M j B 0 b 2 V n Z X Z v Z W d k N D E 8 L 0 l 0 Z W 1 Q Y X R o P j w v S X R l b U x v Y 2 F 0 a W 9 u P j x T d G F i b G V F b n R y a W V z I C 8 + P C 9 J d G V t P j x J d G V t P j x J d G V t T G 9 j Y X R p b 2 4 + P E l 0 Z W 1 U e X B l P k Z v c m 1 1 b G E 8 L 0 l 0 Z W 1 U e X B l P j x J d G V t U G F 0 a D 5 T Z W N 0 a W 9 u M S 9 G U 0 Q v Q W F u Z 2 V w Y X N 0 J T I w a X R l b S U y M H R v Z W d l d m 9 l Z 2 Q 0 M j w v S X R l b V B h d G g + P C 9 J d G V t T G 9 j Y X R p b 2 4 + P F N 0 Y W J s Z U V u d H J p Z X M g L z 4 8 L 0 l 0 Z W 0 + P E l 0 Z W 0 + P E l 0 Z W 1 M b 2 N h d G l v b j 4 8 S X R l b V R 5 c G U + R m 9 y b X V s Y T w v S X R l b V R 5 c G U + P E l 0 Z W 1 Q Y X R o P l N l Y 3 R p b 2 4 x L 0 Z T R C 9 B Y W 5 n Z X B h c 3 Q l M j B p d G V t J T I w d G 9 l Z 2 V 2 b 2 V n Z D Q z P C 9 J d G V t U G F 0 a D 4 8 L 0 l 0 Z W 1 M b 2 N h d G l v b j 4 8 U 3 R h Y m x l R W 5 0 c m l l c y A v P j w v S X R l b T 4 8 S X R l b T 4 8 S X R l b U x v Y 2 F 0 a W 9 u P j x J d G V t V H l w Z T 5 G b 3 J t d W x h P C 9 J d G V t V H l w Z T 4 8 S X R l b V B h d G g + U 2 V j d G l v b j E v R l N E L 0 F h b m d l c G F z d C U y M G l 0 Z W 0 l M j B 0 b 2 V n Z X Z v Z W d k N D Q 8 L 0 l 0 Z W 1 Q Y X R o P j w v S X R l b U x v Y 2 F 0 a W 9 u P j x T d G F i b G V F b n R y a W V z I C 8 + P C 9 J d G V t P j x J d G V t P j x J d G V t T G 9 j Y X R p b 2 4 + P E l 0 Z W 1 U e X B l P k Z v c m 1 1 b G E 8 L 0 l 0 Z W 1 U e X B l P j x J d G V t U G F 0 a D 5 T Z W N 0 a W 9 u M S 9 G U 0 Q v Q W F u Z 2 V w Y X N 0 J T I w a X R l b S U y M H R v Z W d l d m 9 l Z 2 Q 0 N T w v S X R l b V B h d G g + P C 9 J d G V t T G 9 j Y X R p b 2 4 + P F N 0 Y W J s Z U V u d H J p Z X M g L z 4 8 L 0 l 0 Z W 0 + P E l 0 Z W 0 + P E l 0 Z W 1 M b 2 N h d G l v b j 4 8 S X R l b V R 5 c G U + R m 9 y b X V s Y T w v S X R l b V R 5 c G U + P E l 0 Z W 1 Q Y X R o P l N l Y 3 R p b 2 4 x L 0 Z T R C 9 B Y W 5 n Z X B h c 3 Q l M j B p d G V t J T I w d G 9 l Z 2 V 2 b 2 V n Z D Q 2 P C 9 J d G V t U G F 0 a D 4 8 L 0 l 0 Z W 1 M b 2 N h d G l v b j 4 8 U 3 R h Y m x l R W 5 0 c m l l c y A v P j w v S X R l b T 4 8 S X R l b T 4 8 S X R l b U x v Y 2 F 0 a W 9 u P j x J d G V t V H l w Z T 5 G b 3 J t d W x h P C 9 J d G V t V H l w Z T 4 8 S X R l b V B h d G g + U 2 V j d G l v b j E v R l N E L 0 F h b m d l c G F z d C U y M G l 0 Z W 0 l M j B 0 b 2 V n Z X Z v Z W d k N D c 8 L 0 l 0 Z W 1 Q Y X R o P j w v S X R l b U x v Y 2 F 0 a W 9 u P j x T d G F i b G V F b n R y a W V z I C 8 + P C 9 J d G V t P j x J d G V t P j x J d G V t T G 9 j Y X R p b 2 4 + P E l 0 Z W 1 U e X B l P k Z v c m 1 1 b G E 8 L 0 l 0 Z W 1 U e X B l P j x J d G V t U G F 0 a D 5 T Z W N 0 a W 9 u M S 9 G U 0 Q v Q W F u Z 2 V w Y X N 0 J T I w a X R l b S U y M H R v Z W d l d m 9 l Z 2 Q 0 O D w v S X R l b V B h d G g + P C 9 J d G V t T G 9 j Y X R p b 2 4 + P F N 0 Y W J s Z U V u d H J p Z X M g L z 4 8 L 0 l 0 Z W 0 + P E l 0 Z W 0 + P E l 0 Z W 1 M b 2 N h d G l v b j 4 8 S X R l b V R 5 c G U + R m 9 y b X V s Y T w v S X R l b V R 5 c G U + P E l 0 Z W 1 Q Y X R o P l N l Y 3 R p b 2 4 x L 0 Z T R C 9 B Y W 5 n Z X B h c 3 Q l M j B p d G V t J T I w d G 9 l Z 2 V 2 b 2 V n Z D Q 5 P C 9 J d G V t U G F 0 a D 4 8 L 0 l 0 Z W 1 M b 2 N h d G l v b j 4 8 U 3 R h Y m x l R W 5 0 c m l l c y A v P j w v S X R l b T 4 8 S X R l b T 4 8 S X R l b U x v Y 2 F 0 a W 9 u P j x J d G V t V H l w Z T 5 G b 3 J t d W x h P C 9 J d G V t V H l w Z T 4 8 S X R l b V B h d G g + U 2 V j d G l v b j E v R l N E L 0 F h b m d l c G F z d C U y M G l 0 Z W 0 l M j B 0 b 2 V n Z X Z v Z W d k N T A 8 L 0 l 0 Z W 1 Q Y X R o P j w v S X R l b U x v Y 2 F 0 a W 9 u P j x T d G F i b G V F b n R y a W V z I C 8 + P C 9 J d G V t P j x J d G V t P j x J d G V t T G 9 j Y X R p b 2 4 + P E l 0 Z W 1 U e X B l P k Z v c m 1 1 b G E 8 L 0 l 0 Z W 1 U e X B l P j x J d G V t U G F 0 a D 5 T Z W N 0 a W 9 u M S 9 G U 0 Q v Q W F u Z 2 V w Y X N 0 J T I w a X R l b S U y M H R v Z W d l d m 9 l Z 2 Q 1 M T w v S X R l b V B h d G g + P C 9 J d G V t T G 9 j Y X R p b 2 4 + P F N 0 Y W J s Z U V u d H J p Z X M g L z 4 8 L 0 l 0 Z W 0 + P E l 0 Z W 0 + P E l 0 Z W 1 M b 2 N h d G l v b j 4 8 S X R l b V R 5 c G U + R m 9 y b X V s Y T w v S X R l b V R 5 c G U + P E l 0 Z W 1 Q Y X R o P l N l Y 3 R p b 2 4 x L 0 Z T R C 9 B Y W 5 n Z X B h c 3 Q l M j B p d G V t J T I w d G 9 l Z 2 V 2 b 2 V n Z D U y P C 9 J d G V t U G F 0 a D 4 8 L 0 l 0 Z W 1 M b 2 N h d G l v b j 4 8 U 3 R h Y m x l R W 5 0 c m l l c y A v P j w v S X R l b T 4 8 S X R l b T 4 8 S X R l b U x v Y 2 F 0 a W 9 u P j x J d G V t V H l w Z T 5 G b 3 J t d W x h P C 9 J d G V t V H l w Z T 4 8 S X R l b V B h d G g + U 2 V j d G l v b j E v R l N E L 0 F h b m d l c G F z d C U y M G l 0 Z W 0 l M j B 0 b 2 V n Z X Z v Z W d k N T M 8 L 0 l 0 Z W 1 Q Y X R o P j w v S X R l b U x v Y 2 F 0 a W 9 u P j x T d G F i b G V F b n R y a W V z I C 8 + P C 9 J d G V t P j x J d G V t P j x J d G V t T G 9 j Y X R p b 2 4 + P E l 0 Z W 1 U e X B l P k Z v c m 1 1 b G E 8 L 0 l 0 Z W 1 U e X B l P j x J d G V t U G F 0 a D 5 T Z W N 0 a W 9 u M S 9 G U 0 Q v Q W F u Z 2 V w Y X N 0 J T I w a X R l b S U y M H R v Z W d l d m 9 l Z 2 Q 1 N D w v S X R l b V B h d G g + P C 9 J d G V t T G 9 j Y X R p b 2 4 + P F N 0 Y W J s Z U V u d H J p Z X M g L z 4 8 L 0 l 0 Z W 0 + P E l 0 Z W 0 + P E l 0 Z W 1 M b 2 N h d G l v b j 4 8 S X R l b V R 5 c G U + R m 9 y b X V s Y T w v S X R l b V R 5 c G U + P E l 0 Z W 1 Q Y X R o P l N l Y 3 R p b 2 4 x L 0 Z T R C 9 B Y W 5 n Z X B h c 3 Q l M j B p d G V t J T I w d G 9 l Z 2 V 2 b 2 V n Z D U 1 P C 9 J d G V t U G F 0 a D 4 8 L 0 l 0 Z W 1 M b 2 N h d G l v b j 4 8 U 3 R h Y m x l R W 5 0 c m l l c y A v P j w v S X R l b T 4 8 S X R l b T 4 8 S X R l b U x v Y 2 F 0 a W 9 u P j x J d G V t V H l w Z T 5 G b 3 J t d W x h P C 9 J d G V t V H l w Z T 4 8 S X R l b V B h d G g + U 2 V j d G l v b j E v R l N E L 0 F h b m d l c G F z d C U y M G l 0 Z W 0 l M j B 0 b 2 V n Z X Z v Z W d k N T Y 8 L 0 l 0 Z W 1 Q Y X R o P j w v S X R l b U x v Y 2 F 0 a W 9 u P j x T d G F i b G V F b n R y a W V z I C 8 + P C 9 J d G V t P j x J d G V t P j x J d G V t T G 9 j Y X R p b 2 4 + P E l 0 Z W 1 U e X B l P k Z v c m 1 1 b G E 8 L 0 l 0 Z W 1 U e X B l P j x J d G V t U G F 0 a D 5 T Z W N 0 a W 9 u M S 9 G U 0 Q v Q W F u Z 2 V w Y X N 0 J T I w a X R l b S U y M H R v Z W d l d m 9 l Z 2 Q 1 N z w v S X R l b V B h d G g + P C 9 J d G V t T G 9 j Y X R p b 2 4 + P F N 0 Y W J s Z U V u d H J p Z X M g L z 4 8 L 0 l 0 Z W 0 + P E l 0 Z W 0 + P E l 0 Z W 1 M b 2 N h d G l v b j 4 8 S X R l b V R 5 c G U + R m 9 y b X V s Y T w v S X R l b V R 5 c G U + P E l 0 Z W 1 Q Y X R o P l N l Y 3 R p b 2 4 x L 0 Z T R C 9 W b 2 9 y d 2 F h c m R l b G l q a 2 U l M j B r b 2 x v b S U y M G l u Z 2 V 2 b 2 V n Z D M w P C 9 J d G V t U G F 0 a D 4 8 L 0 l 0 Z W 1 M b 2 N h d G l v b j 4 8 U 3 R h Y m x l R W 5 0 c m l l c y A v P j w v S X R l b T 4 8 S X R l b T 4 8 S X R l b U x v Y 2 F 0 a W 9 u P j x J d G V t V H l w Z T 5 G b 3 J t d W x h P C 9 J d G V t V H l w Z T 4 8 S X R l b V B h d G g + U 2 V j d G l v b j E v R l N E L 1 Z v b 3 J 3 Y W F y Z G V s a W p r Z S U y M G t v b G 9 t J T I w a W 5 n Z X Z v Z W d k M z E 8 L 0 l 0 Z W 1 Q Y X R o P j w v S X R l b U x v Y 2 F 0 a W 9 u P j x T d G F i b G V F b n R y a W V z I C 8 + P C 9 J d G V t P j x J d G V t P j x J d G V t T G 9 j Y X R p b 2 4 + P E l 0 Z W 1 U e X B l P k Z v c m 1 1 b G E 8 L 0 l 0 Z W 1 U e X B l P j x J d G V t U G F 0 a D 5 T Z W N 0 a W 9 u M S 9 G U 0 Q v V m 9 v c n d h Y X J k Z W x p a m t l J T I w a 2 9 s b 2 0 l M j B p b m d l d m 9 l Z 2 Q z M j w v S X R l b V B h d G g + P C 9 J d G V t T G 9 j Y X R p b 2 4 + P F N 0 Y W J s Z U V u d H J p Z X M g L z 4 8 L 0 l 0 Z W 0 + P E l 0 Z W 0 + P E l 0 Z W 1 M b 2 N h d G l v b j 4 8 S X R l b V R 5 c G U + R m 9 y b X V s Y T w v S X R l b V R 5 c G U + P E l 0 Z W 1 Q Y X R o P l N l Y 3 R p b 2 4 x L 0 Z T R C 9 W b 2 9 y d 2 F h c m R l b G l q a 2 U l M j B r b 2 x v b S U y M G l u Z 2 V 2 b 2 V n Z D M z P C 9 J d G V t U G F 0 a D 4 8 L 0 l 0 Z W 1 M b 2 N h d G l v b j 4 8 U 3 R h Y m x l R W 5 0 c m l l c y A v P j w v S X R l b T 4 8 S X R l b T 4 8 S X R l b U x v Y 2 F 0 a W 9 u P j x J d G V t V H l w Z T 5 G b 3 J t d W x h P C 9 J d G V t V H l w Z T 4 8 S X R l b V B h d G g + U 2 V j d G l v b j E v R l N E L 1 Z v b 3 J 3 Y W F y Z G V s a W p r Z S U y M G t v b G 9 t J T I w a W 5 n Z X Z v Z W d k M z Q 8 L 0 l 0 Z W 1 Q Y X R o P j w v S X R l b U x v Y 2 F 0 a W 9 u P j x T d G F i b G V F b n R y a W V z I C 8 + P C 9 J d G V t P j x J d G V t P j x J d G V t T G 9 j Y X R p b 2 4 + P E l 0 Z W 1 U e X B l P k Z v c m 1 1 b G E 8 L 0 l 0 Z W 1 U e X B l P j x J d G V t U G F 0 a D 5 T Z W N 0 a W 9 u M S 9 G U 0 Q v V m 9 v c n d h Y X J k Z W x p a m t l J T I w a 2 9 s b 2 0 l M j B p b m d l d m 9 l Z 2 Q z N T w v S X R l b V B h d G g + P C 9 J d G V t T G 9 j Y X R p b 2 4 + P F N 0 Y W J s Z U V u d H J p Z X M g L z 4 8 L 0 l 0 Z W 0 + P E l 0 Z W 0 + P E l 0 Z W 1 M b 2 N h d G l v b j 4 8 S X R l b V R 5 c G U + R m 9 y b X V s Y T w v S X R l b V R 5 c G U + P E l 0 Z W 1 Q Y X R o P l N l Y 3 R p b 2 4 x L 0 Z T R C 9 W b 2 9 y d 2 F h c m R l b G l q a 2 U l M j B r b 2 x v b S U y M G l u Z 2 V 2 b 2 V n Z D M 2 P C 9 J d G V t U G F 0 a D 4 8 L 0 l 0 Z W 1 M b 2 N h d G l v b j 4 8 U 3 R h Y m x l R W 5 0 c m l l c y A v P j w v S X R l b T 4 8 S X R l b T 4 8 S X R l b U x v Y 2 F 0 a W 9 u P j x J d G V t V H l w Z T 5 G b 3 J t d W x h P C 9 J d G V t V H l w Z T 4 8 S X R l b V B h d G g + U 2 V j d G l v b j E v R l N E L 1 Z v b 3 J 3 Y W F y Z G V s a W p r Z S U y M G t v b G 9 t J T I w a W 5 n Z X Z v Z W d k M z c 8 L 0 l 0 Z W 1 Q Y X R o P j w v S X R l b U x v Y 2 F 0 a W 9 u P j x T d G F i b G V F b n R y a W V z I C 8 + P C 9 J d G V t P j x J d G V t P j x J d G V t T G 9 j Y X R p b 2 4 + P E l 0 Z W 1 U e X B l P k Z v c m 1 1 b G E 8 L 0 l 0 Z W 1 U e X B l P j x J d G V t U G F 0 a D 5 T Z W N 0 a W 9 u M S 9 G U 0 Q v V m 9 v c n d h Y X J k Z W x p a m t l J T I w a 2 9 s b 2 0 l M j B p b m d l d m 9 l Z 2 Q z O D w v S X R l b V B h d G g + P C 9 J d G V t T G 9 j Y X R p b 2 4 + P F N 0 Y W J s Z U V u d H J p Z X M g L z 4 8 L 0 l 0 Z W 0 + P E l 0 Z W 0 + P E l 0 Z W 1 M b 2 N h d G l v b j 4 8 S X R l b V R 5 c G U + R m 9 y b X V s Y T w v S X R l b V R 5 c G U + P E l 0 Z W 1 Q Y X R o P l N l Y 3 R p b 2 4 x L 0 Z T R C 9 W b 2 9 y d 2 F h c m R l b G l q a 2 U l M j B r b 2 x v b S U y M G l u Z 2 V 2 b 2 V n Z D M 5 P C 9 J d G V t U G F 0 a D 4 8 L 0 l 0 Z W 1 M b 2 N h d G l v b j 4 8 U 3 R h Y m x l R W 5 0 c m l l c y A v P j w v S X R l b T 4 8 S X R l b T 4 8 S X R l b U x v Y 2 F 0 a W 9 u P j x J d G V t V H l w Z T 5 G b 3 J t d W x h P C 9 J d G V t V H l w Z T 4 8 S X R l b V B h d G g + U 2 V j d G l v b j E v R l N E L 1 Z v b 3 J 3 Y W F y Z G V s a W p r Z S U y M G t v b G 9 t J T I w a W 5 n Z X Z v Z W d k N D A 8 L 0 l 0 Z W 1 Q Y X R o P j w v S X R l b U x v Y 2 F 0 a W 9 u P j x T d G F i b G V F b n R y a W V z I C 8 + P C 9 J d G V t P j x J d G V t P j x J d G V t T G 9 j Y X R p b 2 4 + P E l 0 Z W 1 U e X B l P k Z v c m 1 1 b G E 8 L 0 l 0 Z W 1 U e X B l P j x J d G V t U G F 0 a D 5 T Z W N 0 a W 9 u M S 9 G U 0 Q v V m 9 v c n d h Y X J k Z W x p a m t l J T I w a 2 9 s b 2 0 l M j B p b m d l d m 9 l Z 2 Q 0 M T w v S X R l b V B h d G g + P C 9 J d G V t T G 9 j Y X R p b 2 4 + P F N 0 Y W J s Z U V u d H J p Z X M g L z 4 8 L 0 l 0 Z W 0 + P E l 0 Z W 0 + P E l 0 Z W 1 M b 2 N h d G l v b j 4 8 S X R l b V R 5 c G U + R m 9 y b X V s Y T w v S X R l b V R 5 c G U + P E l 0 Z W 1 Q Y X R o P l N l Y 3 R p b 2 4 x L 0 Z T R C 9 W b 2 9 y d 2 F h c m R l b G l q a 2 U l M j B r b 2 x v b S U y M G l u Z 2 V 2 b 2 V n Z D Q y P C 9 J d G V t U G F 0 a D 4 8 L 0 l 0 Z W 1 M b 2 N h d G l v b j 4 8 U 3 R h Y m x l R W 5 0 c m l l c y A v P j w v S X R l b T 4 8 S X R l b T 4 8 S X R l b U x v Y 2 F 0 a W 9 u P j x J d G V t V H l w Z T 5 G b 3 J t d W x h P C 9 J d G V t V H l w Z T 4 8 S X R l b V B h d G g + U 2 V j d G l v b j E v R l N E L 1 Z v b 3 J 3 Y W F y Z G V s a W p r Z S U y M G t v b G 9 t J T I w a W 5 n Z X Z v Z W d k N D M 8 L 0 l 0 Z W 1 Q Y X R o P j w v S X R l b U x v Y 2 F 0 a W 9 u P j x T d G F i b G V F b n R y a W V z I C 8 + P C 9 J d G V t P j x J d G V t P j x J d G V t T G 9 j Y X R p b 2 4 + P E l 0 Z W 1 U e X B l P k Z v c m 1 1 b G E 8 L 0 l 0 Z W 1 U e X B l P j x J d G V t U G F 0 a D 5 T Z W N 0 a W 9 u M S 9 G U 0 Q v V m 9 v c n d h Y X J k Z W x p a m t l J T I w a 2 9 s b 2 0 l M j B p b m d l d m 9 l Z 2 Q 0 N D w v S X R l b V B h d G g + P C 9 J d G V t T G 9 j Y X R p b 2 4 + P F N 0 Y W J s Z U V u d H J p Z X M g L z 4 8 L 0 l 0 Z W 0 + P E l 0 Z W 0 + P E l 0 Z W 1 M b 2 N h d G l v b j 4 8 S X R l b V R 5 c G U + R m 9 y b X V s Y T w v S X R l b V R 5 c G U + P E l 0 Z W 1 Q Y X R o P l N l Y 3 R p b 2 4 x L 0 Z T R C 9 W b 2 9 y d 2 F h c m R l b G l q a 2 U l M j B r b 2 x v b S U y M G l u Z 2 V 2 b 2 V n Z D Q 1 P C 9 J d G V t U G F 0 a D 4 8 L 0 l 0 Z W 1 M b 2 N h d G l v b j 4 8 U 3 R h Y m x l R W 5 0 c m l l c y A v P j w v S X R l b T 4 8 S X R l b T 4 8 S X R l b U x v Y 2 F 0 a W 9 u P j x J d G V t V H l w Z T 5 G b 3 J t d W x h P C 9 J d G V t V H l w Z T 4 8 S X R l b V B h d G g + U 2 V j d G l v b j E v R l N E L 1 Z v b 3 J 3 Y W F y Z G V s a W p r Z S U y M G t v b G 9 t J T I w a W 5 n Z X Z v Z W d k N D Y 8 L 0 l 0 Z W 1 Q Y X R o P j w v S X R l b U x v Y 2 F 0 a W 9 u P j x T d G F i b G V F b n R y a W V z I C 8 + P C 9 J d G V t P j x J d G V t P j x J d G V t T G 9 j Y X R p b 2 4 + P E l 0 Z W 1 U e X B l P k Z v c m 1 1 b G E 8 L 0 l 0 Z W 1 U e X B l P j x J d G V t U G F 0 a D 5 T Z W N 0 a W 9 u M S 9 G U 0 Q v V m 9 v c n d h Y X J k Z W x p a m t l J T I w a 2 9 s b 2 0 l M j B p b m d l d m 9 l Z 2 Q 0 N z w v S X R l b V B h d G g + P C 9 J d G V t T G 9 j Y X R p b 2 4 + P F N 0 Y W J s Z U V u d H J p Z X M g L z 4 8 L 0 l 0 Z W 0 + P E l 0 Z W 0 + P E l 0 Z W 1 M b 2 N h d G l v b j 4 8 S X R l b V R 5 c G U + R m 9 y b X V s Y T w v S X R l b V R 5 c G U + P E l 0 Z W 1 Q Y X R o P l N l Y 3 R p b 2 4 x L 0 Z T R C 9 W b 2 9 y d 2 F h c m R l b G l q a 2 U l M j B r b 2 x v b S U y M G l u Z 2 V 2 b 2 V n Z D Q 4 P C 9 J d G V t U G F 0 a D 4 8 L 0 l 0 Z W 1 M b 2 N h d G l v b j 4 8 U 3 R h Y m x l R W 5 0 c m l l c y A v P j w v S X R l b T 4 8 S X R l b T 4 8 S X R l b U x v Y 2 F 0 a W 9 u P j x J d G V t V H l w Z T 5 G b 3 J t d W x h P C 9 J d G V t V H l w Z T 4 8 S X R l b V B h d G g + U 2 V j d G l v b j E v R l N E L 1 Z v b 3 J 3 Y W F y Z G V s a W p r Z S U y M G t v b G 9 t J T I w a W 5 n Z X Z v Z W d k N D k 8 L 0 l 0 Z W 1 Q Y X R o P j w v S X R l b U x v Y 2 F 0 a W 9 u P j x T d G F i b G V F b n R y a W V z I C 8 + P C 9 J d G V t P j x J d G V t P j x J d G V t T G 9 j Y X R p b 2 4 + P E l 0 Z W 1 U e X B l P k Z v c m 1 1 b G E 8 L 0 l 0 Z W 1 U e X B l P j x J d G V t U G F 0 a D 5 T Z W N 0 a W 9 u M S 9 G U 0 Q v V m 9 v c n d h Y X J k Z W x p a m t l J T I w a 2 9 s b 2 0 l M j B p b m d l d m 9 l Z 2 Q 1 M D w v S X R l b V B h d G g + P C 9 J d G V t T G 9 j Y X R p b 2 4 + P F N 0 Y W J s Z U V u d H J p Z X M g L z 4 8 L 0 l 0 Z W 0 + P E l 0 Z W 0 + P E l 0 Z W 1 M b 2 N h d G l v b j 4 8 S X R l b V R 5 c G U + R m 9 y b X V s Y T w v S X R l b V R 5 c G U + P E l 0 Z W 1 Q Y X R o P l N l Y 3 R p b 2 4 x L 0 Z T R C 9 W b 2 9 y d 2 F h c m R l b G l q a 2 U l M j B r b 2 x v b S U y M G l u Z 2 V 2 b 2 V n Z D U x P C 9 J d G V t U G F 0 a D 4 8 L 0 l 0 Z W 1 M b 2 N h d G l v b j 4 8 U 3 R h Y m x l R W 5 0 c m l l c y A v P j w v S X R l b T 4 8 S X R l b T 4 8 S X R l b U x v Y 2 F 0 a W 9 u P j x J d G V t V H l w Z T 5 G b 3 J t d W x h P C 9 J d G V t V H l w Z T 4 8 S X R l b V B h d G g + U 2 V j d G l v b j E v R l N E L 1 Z v b 3 J 3 Y W F y Z G V s a W p r Z S U y M G t v b G 9 t J T I w a W 5 n Z X Z v Z W d k N T I 8 L 0 l 0 Z W 1 Q Y X R o P j w v S X R l b U x v Y 2 F 0 a W 9 u P j x T d G F i b G V F b n R y a W V z I C 8 + P C 9 J d G V t P j x J d G V t P j x J d G V t T G 9 j Y X R p b 2 4 + P E l 0 Z W 1 U e X B l P k Z v c m 1 1 b G E 8 L 0 l 0 Z W 1 U e X B l P j x J d G V t U G F 0 a D 5 T Z W N 0 a W 9 u M S 9 G U 0 Q v V m 9 v c n d h Y X J k Z W x p a m t l J T I w a 2 9 s b 2 0 l M j B p b m d l d m 9 l Z 2 Q 1 M z w v S X R l b V B h d G g + P C 9 J d G V t T G 9 j Y X R p b 2 4 + P F N 0 Y W J s Z U V u d H J p Z X M g L z 4 8 L 0 l 0 Z W 0 + P E l 0 Z W 0 + P E l 0 Z W 1 M b 2 N h d G l v b j 4 8 S X R l b V R 5 c G U + R m 9 y b X V s Y T w v S X R l b V R 5 c G U + P E l 0 Z W 1 Q Y X R o P l N l Y 3 R p b 2 4 x L 0 Z T R C 9 W b 2 9 y d 2 F h c m R l b G l q a 2 U l M j B r b 2 x v b S U y M G l u Z 2 V 2 b 2 V n Z D U 0 P C 9 J d G V t U G F 0 a D 4 8 L 0 l 0 Z W 1 M b 2 N h d G l v b j 4 8 U 3 R h Y m x l R W 5 0 c m l l c y A v P j w v S X R l b T 4 8 S X R l b T 4 8 S X R l b U x v Y 2 F 0 a W 9 u P j x J d G V t V H l w Z T 5 G b 3 J t d W x h P C 9 J d G V t V H l w Z T 4 8 S X R l b V B h d G g + U 2 V j d G l v b j E v R l N E L 1 Z v b 3 J 3 Y W F y Z G V s a W p r Z S U y M G t v b G 9 t J T I w a W 5 n Z X Z v Z W d k N T U 8 L 0 l 0 Z W 1 Q Y X R o P j w v S X R l b U x v Y 2 F 0 a W 9 u P j x T d G F i b G V F b n R y a W V z I C 8 + P C 9 J d G V t P j x J d G V t P j x J d G V t T G 9 j Y X R p b 2 4 + P E l 0 Z W 1 U e X B l P k Z v c m 1 1 b G E 8 L 0 l 0 Z W 1 U e X B l P j x J d G V t U G F 0 a D 5 T Z W N 0 a W 9 u M S 9 G U 0 Q v V m 9 v c n d h Y X J k Z W x p a m t l J T I w a 2 9 s b 2 0 l M j B p b m d l d m 9 l Z 2 Q 1 N j w v S X R l b V B h d G g + P C 9 J d G V t T G 9 j Y X R p b 2 4 + P F N 0 Y W J s Z U V u d H J p Z X M g L z 4 8 L 0 l 0 Z W 0 + P E l 0 Z W 0 + P E l 0 Z W 1 M b 2 N h d G l v b j 4 8 S X R l b V R 5 c G U + R m 9 y b X V s Y T w v S X R l b V R 5 c G U + P E l 0 Z W 1 Q Y X R o P l N l Y 3 R p b 2 4 x L 0 Z T R C 9 W b 2 9 y d 2 F h c m R l b G l q a 2 U l M j B r b 2 x v b S U y M G l u Z 2 V 2 b 2 V n Z D U 3 P C 9 J d G V t U G F 0 a D 4 8 L 0 l 0 Z W 1 M b 2 N h d G l v b j 4 8 U 3 R h Y m x l R W 5 0 c m l l c y A v P j w v S X R l b T 4 8 S X R l b T 4 8 S X R l b U x v Y 2 F 0 a W 9 u P j x J d G V t V H l w Z T 5 G b 3 J t d W x h P C 9 J d G V t V H l w Z T 4 8 S X R l b V B h d G g + U 2 V j d G l v b j E v R l N E L 1 Z v b 3 J 3 Y W F y Z G V s a W p r Z S U y M G t v b G 9 t J T I w a W 5 n Z X Z v Z W d k N T g 8 L 0 l 0 Z W 1 Q Y X R o P j w v S X R l b U x v Y 2 F 0 a W 9 u P j x T d G F i b G V F b n R y a W V z I C 8 + P C 9 J d G V t P j x J d G V t P j x J d G V t T G 9 j Y X R p b 2 4 + P E l 0 Z W 1 U e X B l P k Z v c m 1 1 b G E 8 L 0 l 0 Z W 1 U e X B l P j x J d G V t U G F 0 a D 5 T Z W N 0 a W 9 u M S 9 G U 0 Q v V m 9 v c n d h Y X J k Z W x p a m t l J T I w a 2 9 s b 2 0 l M j B p b m d l d m 9 l Z 2 Q 1 O T w v S X R l b V B h d G g + P C 9 J d G V t T G 9 j Y X R p b 2 4 + P F N 0 Y W J s Z U V u d H J p Z X M g L z 4 8 L 0 l 0 Z W 0 + P E l 0 Z W 0 + P E l 0 Z W 1 M b 2 N h d G l v b j 4 8 S X R l b V R 5 c G U + R m 9 y b X V s Y T w v S X R l b V R 5 c G U + P E l 0 Z W 1 Q Y X R o P l N l Y 3 R p b 2 4 x L 0 Z T R C 9 B Y W 5 n Z X B h c 3 Q l M j B p d G V t J T I w d G 9 l Z 2 V 2 b 2 V n Z C U y M D E 8 L 0 l 0 Z W 1 Q Y X R o P j w v S X R l b U x v Y 2 F 0 a W 9 u P j x T d G F i b G V F b n R y a W V z I C 8 + P C 9 J d G V t P j x J d G V t P j x J d G V t T G 9 j Y X R p b 2 4 + P E l 0 Z W 1 U e X B l P k Z v c m 1 1 b G E 8 L 0 l 0 Z W 1 U e X B l P j x J d G V t U G F 0 a D 5 T Z W N 0 a W 9 u M S 9 G U 0 Q v Q W F u Z 2 V w Y X N 0 J T I w a X R l b S U y M H R v Z W d l d m 9 l Z 2 Q l M j A y P C 9 J d G V t U G F 0 a D 4 8 L 0 l 0 Z W 1 M b 2 N h d G l v b j 4 8 U 3 R h Y m x l R W 5 0 c m l l c y A v P j w v S X R l b T 4 8 S X R l b T 4 8 S X R l b U x v Y 2 F 0 a W 9 u P j x J d G V t V H l w Z T 5 G b 3 J t d W x h P C 9 J d G V t V H l w Z T 4 8 S X R l b V B h d G g + U 2 V j d G l v b j E v R l N E L 0 F h b m d l c G F z d C U y M G l 0 Z W 0 l M j B 0 b 2 V n Z X Z v Z W d k J T I w M z w v S X R l b V B h d G g + P C 9 J d G V t T G 9 j Y X R p b 2 4 + P F N 0 Y W J s Z U V u d H J p Z X M g L z 4 8 L 0 l 0 Z W 0 + P E l 0 Z W 0 + P E l 0 Z W 1 M b 2 N h d G l v b j 4 8 S X R l b V R 5 c G U + R m 9 y b X V s Y T w v S X R l b V R 5 c G U + P E l 0 Z W 1 Q Y X R o P l N l Y 3 R p b 2 4 x L 0 Z T R C 9 B Y W 5 n Z X B h c 3 Q l M j B p d G V t J T I w d G 9 l Z 2 V 2 b 2 V n Z C U y M D Q 8 L 0 l 0 Z W 1 Q Y X R o P j w v S X R l b U x v Y 2 F 0 a W 9 u P j x T d G F i b G V F b n R y a W V z I C 8 + P C 9 J d G V t P j x J d G V t P j x J d G V t T G 9 j Y X R p b 2 4 + P E l 0 Z W 1 U e X B l P k Z v c m 1 1 b G E 8 L 0 l 0 Z W 1 U e X B l P j x J d G V t U G F 0 a D 5 T Z W N 0 a W 9 u M S 9 G U 0 Q v S 2 9 s b 2 1 t Z W 4 l M j B 2 Z X J 3 a W p k Z X J k J T I w M j w v S X R l b V B h d G g + P C 9 J d G V t T G 9 j Y X R p b 2 4 + P F N 0 Y W J s Z U V u d H J p Z X M g L z 4 8 L 0 l 0 Z W 0 + P E l 0 Z W 0 + P E l 0 Z W 1 M b 2 N h d G l v b j 4 8 S X R l b V R 5 c G U + R m 9 y b X V s Y T w v S X R l b V R 5 c G U + P E l 0 Z W 1 Q Y X R o P l N l Y 3 R p b 2 4 x L 0 Z T R C 9 O Y W 1 l b i U y M H Z h b i U y M G t v b G 9 t b W V u J T I w Z 2 V 3 a W p 6 a W d k J T I w O D w v S X R l b V B h d G g + P C 9 J d G V t T G 9 j Y X R p b 2 4 + P F N 0 Y W J s Z U V u d H J p Z X M g L z 4 8 L 0 l 0 Z W 0 + P E l 0 Z W 0 + P E l 0 Z W 1 M b 2 N h d G l v b j 4 8 S X R l b V R 5 c G U + R m 9 y b X V s Y T w v S X R l b V R 5 c G U + P E l 0 Z W 1 Q Y X R o P l N l Y 3 R p b 2 4 x L 0 Z T R C 9 X Y W F y Z G U l M j B p c y U y M H Z l c n Z h b m d l b i U y M D k 8 L 0 l 0 Z W 1 Q Y X R o P j w v S X R l b U x v Y 2 F 0 a W 9 u P j x T d G F i b G V F b n R y a W V z I C 8 + P C 9 J d G V t P j x J d G V t P j x J d G V t T G 9 j Y X R p b 2 4 + P E l 0 Z W 1 U e X B l P k Z v c m 1 1 b G E 8 L 0 l 0 Z W 1 U e X B l P j x J d G V t U G F 0 a D 5 T Z W N 0 a W 9 u M S 9 G U 0 Q v V 2 F h c m R l J T I w a X M l M j B 2 Z X J 2 Y W 5 n Z W 4 l M j A y P C 9 J d G V t U G F 0 a D 4 8 L 0 l 0 Z W 1 M b 2 N h d G l v b j 4 8 U 3 R h Y m x l R W 5 0 c m l l c y A v P j w v S X R l b T 4 8 S X R l b T 4 8 S X R l b U x v Y 2 F 0 a W 9 u P j x J d G V t V H l w Z T 5 G b 3 J t d W x h P C 9 J d G V t V H l w Z T 4 8 S X R l b V B h d G g + U 2 V j d G l v b j E v R l N E L 0 5 h b W V u J T I w d m F u J T I w a 2 9 s b 2 1 t Z W 4 l M j B n Z X d p a n p p Z 2 Q l M j A z P C 9 J d G V t U G F 0 a D 4 8 L 0 l 0 Z W 1 M b 2 N h d G l v b j 4 8 U 3 R h Y m x l R W 5 0 c m l l c y A v P j w v S X R l b T 4 8 S X R l b T 4 8 S X R l b U x v Y 2 F 0 a W 9 u P j x J d G V t V H l w Z T 5 G b 3 J t d W x h P C 9 J d G V t V H l w Z T 4 8 S X R l b V B h d G g + U 2 V j d G l v b j E v R l N E L 1 d h Y X J k Z S U y M G l z J T I w d m V y d m F u Z 2 V u J T I w M z w v S X R l b V B h d G g + P C 9 J d G V t T G 9 j Y X R p b 2 4 + P F N 0 Y W J s Z U V u d H J p Z X M g L z 4 8 L 0 l 0 Z W 0 + P E l 0 Z W 0 + P E l 0 Z W 1 M b 2 N h d G l v b j 4 8 S X R l b V R 5 c G U + R m 9 y b X V s Y T w v S X R l b V R 5 c G U + P E l 0 Z W 1 Q Y X R o P l N l Y 3 R p b 2 4 x L 0 Z T R C 9 X Y W F y Z G U l M j B p c y U y M H Z l c n Z h b m d l b i U y M D Q 8 L 0 l 0 Z W 1 Q Y X R o P j w v S X R l b U x v Y 2 F 0 a W 9 u P j x T d G F i b G V F b n R y a W V z I C 8 + P C 9 J d G V t P j x J d G V t P j x J d G V t T G 9 j Y X R p b 2 4 + P E l 0 Z W 1 U e X B l P k Z v c m 1 1 b G E 8 L 0 l 0 Z W 1 U e X B l P j x J d G V t U G F 0 a D 5 T Z W N 0 a W 9 u M S 9 G U 0 Q v T m F t Z W 4 l M j B 2 Y W 4 l M j B r b 2 x v b W 1 l b i U y M G d l d 2 l q e m l n Z C U y M D Q 8 L 0 l 0 Z W 1 Q Y X R o P j w v S X R l b U x v Y 2 F 0 a W 9 u P j x T d G F i b G V F b n R y a W V z I C 8 + P C 9 J d G V t P j x J d G V t P j x J d G V t T G 9 j Y X R p b 2 4 + P E l 0 Z W 1 U e X B l P k Z v c m 1 1 b G E 8 L 0 l 0 Z W 1 U e X B l P j x J d G V t U G F 0 a D 5 T Z W N 0 a W 9 u M S 9 G U 0 Q v T m F t Z W 4 l M j B 2 Y W 4 l M j B r b 2 x v b W 1 l b i U y M G d l d 2 l q e m l n Z C U y M D U 8 L 0 l 0 Z W 1 Q Y X R o P j w v S X R l b U x v Y 2 F 0 a W 9 u P j x T d G F i b G V F b n R y a W V z I C 8 + P C 9 J d G V t P j x J d G V t P j x J d G V t T G 9 j Y X R p b 2 4 + P E l 0 Z W 1 U e X B l P k Z v c m 1 1 b G E 8 L 0 l 0 Z W 1 U e X B l P j x J d G V t U G F 0 a D 5 T Z W N 0 a W 9 u M S 9 G U 0 Q v S 2 9 s b 2 1 t Z W 4 l M j B z Y W 1 l b m d l d m 9 l Z 2 Q l M j A x P C 9 J d G V t U G F 0 a D 4 8 L 0 l 0 Z W 1 M b 2 N h d G l v b j 4 8 U 3 R h Y m x l R W 5 0 c m l l c y A v P j w v S X R l b T 4 8 S X R l b T 4 8 S X R l b U x v Y 2 F 0 a W 9 u P j x J d G V t V H l w Z T 5 G b 3 J t d W x h P C 9 J d G V t V H l w Z T 4 8 S X R l b V B h d G g + U 2 V j d G l v b j E v R l N E L 0 t v b G 9 t b W V u J T I w c 2 F t Z W 5 n Z X Z v Z W d k J T I w M j w v S X R l b V B h d G g + P C 9 J d G V t T G 9 j Y X R p b 2 4 + P F N 0 Y W J s Z U V u d H J p Z X M g L z 4 8 L 0 l 0 Z W 0 + P E l 0 Z W 0 + P E l 0 Z W 1 M b 2 N h d G l v b j 4 8 S X R l b V R 5 c G U + R m 9 y b X V s Y T w v S X R l b V R 5 c G U + P E l 0 Z W 1 Q Y X R o P l N l Y 3 R p b 2 4 x L 0 Z T R C 9 O Y W 1 l b i U y M H Z h b i U y M G t v b G 9 t b W V u J T I w Z 2 V 3 a W p 6 a W d k J T I w N j w v S X R l b V B h d G g + P C 9 J d G V t T G 9 j Y X R p b 2 4 + P F N 0 Y W J s Z U V u d H J p Z X M g L z 4 8 L 0 l 0 Z W 0 + P E l 0 Z W 0 + P E l 0 Z W 1 M b 2 N h d G l v b j 4 8 S X R l b V R 5 c G U + R m 9 y b X V s Y T w v S X R l b V R 5 c G U + P E l 0 Z W 1 Q Y X R o P l N l Y 3 R p b 2 4 x L 0 Z T R C 9 O Y W 1 l b i U y M H Z h b i U y M G t v b G 9 t b W V u J T I w Z 2 V 3 a W p 6 a W d k J T I w N z w v S X R l b V B h d G g + P C 9 J d G V t T G 9 j Y X R p b 2 4 + P F N 0 Y W J s Z U V u d H J p Z X M g L z 4 8 L 0 l 0 Z W 0 + P E l 0 Z W 0 + P E l 0 Z W 1 M b 2 N h d G l v b j 4 8 S X R l b V R 5 c G U + R m 9 y b X V s Y T w v S X R l b V R 5 c G U + P E l 0 Z W 1 Q Y X R o P l N l Y 3 R p b 2 4 x L 0 Z T R C 9 X Y W F y Z G U l M j B p c y U y M H Z l c n Z h b m d l b i U y M D c 8 L 0 l 0 Z W 1 Q Y X R o P j w v S X R l b U x v Y 2 F 0 a W 9 u P j x T d G F i b G V F b n R y a W V z I C 8 + P C 9 J d G V t P j x J d G V t P j x J d G V t T G 9 j Y X R p b 2 4 + P E l 0 Z W 1 U e X B l P k Z v c m 1 1 b G E 8 L 0 l 0 Z W 1 U e X B l P j x J d G V t U G F 0 a D 5 T Z W N 0 a W 9 u M S 9 G U 0 Q v V 2 F h c m R l J T I w a X M l M j B 2 Z X J 2 Y W 5 n Z W 4 l M j A 4 P C 9 J d G V t U G F 0 a D 4 8 L 0 l 0 Z W 1 M b 2 N h d G l v b j 4 8 U 3 R h Y m x l R W 5 0 c m l l c y A v P j w v S X R l b T 4 8 S X R l b T 4 8 S X R l b U x v Y 2 F 0 a W 9 u P j x J d G V t V H l w Z T 5 G b 3 J t d W x h P C 9 J d G V t V H l w Z T 4 8 S X R l b V B h d G g + U 2 V j d G l v b j E v R l N E L 0 5 h b W V u J T I w d m F u J T I w a 2 9 s b 2 1 t Z W 4 l M j B n Z X d p a n p p Z 2 Q l M j A 5 P C 9 J d G V t U G F 0 a D 4 8 L 0 l 0 Z W 1 M b 2 N h d G l v b j 4 8 U 3 R h Y m x l R W 5 0 c m l l c y A v P j w v S X R l b T 4 8 S X R l b T 4 8 S X R l b U x v Y 2 F 0 a W 9 u P j x J d G V t V H l w Z T 5 G b 3 J t d W x h P C 9 J d G V t V H l w Z T 4 8 S X R l b V B h d G g + U 2 V j d G l v b j E v R l N E L 0 h l d C U y M G t v b G 9 t d H l w Z S U y M G l z J T I w Z 2 V 3 a W p 6 a W d k J T I w M T w v S X R l b V B h d G g + P C 9 J d G V t T G 9 j Y X R p b 2 4 + P F N 0 Y W J s Z U V u d H J p Z X M g L z 4 8 L 0 l 0 Z W 0 + P E l 0 Z W 0 + P E l 0 Z W 1 M b 2 N h d G l v b j 4 8 S X R l b V R 5 c G U + R m 9 y b X V s Y T w v S X R l b V R 5 c G U + P E l 0 Z W 1 Q Y X R o P l N l Y 3 R p b 2 4 x L 0 Z T R C 9 H Z X N v c n R l Z X J k Z S U y M H J p a m V u P C 9 J d G V t U G F 0 a D 4 8 L 0 l 0 Z W 1 M b 2 N h d G l v b j 4 8 U 3 R h Y m x l R W 5 0 c m l l c y A v P j w v S X R l b T 4 8 S X R l b T 4 8 S X R l b U x v Y 2 F 0 a W 9 u P j x J d G V t V H l w Z T 5 G b 3 J t d W x h P C 9 J d G V t V H l w Z T 4 8 S X R l b V B h d G g + U 2 V j d G l v b j E v S 0 R M 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O W V k Z j V h Y j g t N W F h M S 0 0 Z D Q 1 L W I z N m Y t M j k x Z m J l M D V i Y W Q 4 I i A v P j x F b n R y e S B U e X B l P S J S Z X N 1 b H R U e X B l I i B W Y W x 1 Z T 0 i c 1 R h Y m x l I i A v P j x F b n R y e S B U e X B l P S J O Y W 1 l V X B k Y X R l Z E F m d G V y R m l s b C I g V m F s d W U 9 I m w w I i A v P j x F b n R y e S B U e X B l P S J G a W x s V G F y Z 2 V 0 I i B W Y W x 1 Z T 0 i c 0 t E T C I g L z 4 8 R W 5 0 c n k g V H l w Z T 0 i R m l s b G V k Q 2 9 t c G x l d G V S Z X N 1 b H R U b 1 d v c m t z a G V l d C I g V m F s d W U 9 I m w x I i A v P j x F b n R y e S B U e X B l P S J C d W Z m Z X J O Z X h 0 U m V m c m V z a C I g V m F s d W U 9 I m w x I i A v P j x F b n R y e S B U e X B l P S J G a W x s T G F z d F V w Z G F 0 Z W Q i I F Z h b H V l P S J k M j A y N i 0 w M S 0 w M V Q w O T o z M D o 0 M C 4 0 N z Y x N z Q w W i I g L z 4 8 R W 5 0 c n k g V H l w Z T 0 i R m l s b E N v b H V t b l R 5 c G V z I i B W Y W x 1 Z T 0 i c 0 J n W U d C Z 1 l H Q m d Z R E F 3 T U R B d 0 1 E Q X d N R E F 3 T U d B d 0 1 E Q X d N R E F 3 W U R B d 0 1 E Q X d N R E J n W U d C Z 2 N I Q m d Z R 0 J n W U d B d 1 l H Q m d Z P S I g L z 4 8 R W 5 0 c n k g V H l w Z T 0 i R m l s b E V y c m 9 y Q 2 9 1 b n Q i I F Z h b H V l P S J s M C I g L z 4 8 R W 5 0 c n k g V H l w Z T 0 i R m l s b E N v b H V t b k 5 h b W V z I i B W Y W x 1 Z T 0 i c 1 s m c X V v d D t L c m l u Z 2 R h Z y Z x d W 9 0 O y w m c X V v d D t W Z X I u b n I u J n F 1 b 3 Q 7 L C Z x d W 9 0 O 0 5 h Y W 0 g d m V y Z W 5 p Z 2 l u Z y Z x d W 9 0 O y w m c X V v d D t E Z W x l Z 2 F 0 a W U m c X V v d D s s J n F 1 b 3 Q 7 T X V 6 a W V r a 2 9 y c H M g d G l q Z G V u c y B t Y X J z I G V u I G R l Z m l s X H U w M E U 5 J n F 1 b 3 Q 7 L C Z x d W 9 0 O 0 R l Z W x u Y W 1 l I G p l d W d k a 2 9 u a W 5 n c 2 N o a W V 0 Z W 4 m c X V v d D s s J n F 1 b 3 Q 7 T W F q L i B T Z W 5 p b 3 J l b i B q d X J l c m V u I G J p a i B t Y X J z J n F 1 b 3 Q 7 L C Z x d W 9 0 O 0 1 h a i 4 g S m V 1 Z 2 Q g a n V y Z X J l b i B i a W o g b W F y c y Z x d W 9 0 O y w m c X V v d D t L b 3 J w c y B z Z W 5 p b 3 J l b i Z x d W 9 0 O y w m c X V v d D t K d W 5 p b 3 J l b i B r b 3 J w c y A x J n F 1 b 3 Q 7 L C Z x d W 9 0 O 0 p 1 b m l v c m V u I G t v c n B z I D I m c X V v d D s s J n F 1 b 3 Q 7 Q X N w a X J h b n R l b i B r b 3 J w c y A x J n F 1 b 3 Q 7 L C Z x d W 9 0 O 0 F z c G l y Y W 5 0 Z W 4 g a 2 9 y c H M g M i Z x d W 9 0 O y w m c X V v d D t B Y 3 J v Y m F 0 a X N j a C B z Z W 5 p b 3 J l b i Z x d W 9 0 O y w m c X V v d D t B Y 3 J v Y m F 0 a X N j a C B q d W 5 p b 3 J l b i Z x d W 9 0 O y w m c X V v d D t B Y 3 J v Y m F 0 a X N j a C B h c 3 B p c m F u d G V u J n F 1 b 3 Q 7 L C Z x d W 9 0 O 0 9 w Z 2 V 2 Z W 4 g d m V u Z G V s a W V y c y B p b m Q u J n F 1 b 3 Q 7 L C Z x d W 9 0 O 0 F j c m 9 i L i B z Z W 5 p b 3 J l b i B p b m R p d i 4 m c X V v d D s s J n F 1 b 3 Q 7 Q W N y b 2 I u I G p 1 b m l v c m V u I G l u Z G l 2 L i Z x d W 9 0 O y w m c X V v d D t B Y 3 J v Y i 4 g Y X N w a X J h b n R l b i B p b m R p d i 4 m c X V v d D s s J n F 1 b 3 Q 7 R G V l b G 5 h b W U g a G 9 v Z m R r b 3 J w c y Z x d W 9 0 O y w m c X V v d D t H c m 9 l c G V u L C B 0 Z W F t c y w g Z W 5 z Z W 1 i b G V z I G V u I G R 1 b 1 x 1 M D A y N 3 M m c X V v d D s s J n F 1 b 3 Q 7 Q W F u d G F s I G 9 w Z 2 V n Z X Z l b i B t Y W p v c m V 0 d G V z J n F 1 b 3 Q 7 L C Z x d W 9 0 O 0 9 w Z 2 V 2 Z W 4 g Y m l l b G V t Y W 5 u Z W 4 m c X V v d D s s J n F 1 b 3 Q 7 U 2 V u a W 9 y Z W 4 m c X V v d D s s J n F 1 b 3 Q 7 S m 9 u Z y B W b 2 x 3 Y X N z Z W 5 l J n F 1 b 3 Q 7 L C Z x d W 9 0 O 0 p 1 b m l v c m V u J n F 1 b 3 Q 7 L C Z x d W 9 0 O 0 F z c G l y Y W 5 0 Z W 4 m c X V v d D s s J n F 1 b 3 Q 7 R G V l b G 5 h b W U g b W F y a 2 V 0 Z W 5 0 c 3 R l c n M m c X V v d D s s J n F 1 b 3 Q 7 Q W F u d G F s I G x 1 Y 2 h 0 Z 2 V 3 Z W V y c 2 N o d X R 0 Z X J z J n F 1 b 3 Q 7 L C Z x d W 9 0 O 0 F h b n R h b C B s d W N o d H B p c 3 R v b 2 x z Y 2 h 1 d H R l c n M m c X V v d D s s J n F 1 b 3 Q 7 Q W F u d G F s I G h h b m R i b 2 9 n c 2 N o d X R 0 Z X J z J n F 1 b 3 Q 7 L C Z x d W 9 0 O 0 F h b n R h b C B r c n V p c 2 J v b 2 d z Y 2 h 1 d H R l c n M m c X V v d D s s J n F 1 b 3 Q 7 K E F h b n R h b C B q Z X V n Z G t v c n B z Z W 4 m c X V v d D s s J n F 1 b 3 Q 7 V G 9 0 Y W F s I G F h b n R h b C B k Z W V s b m V t Z X J z J n F 1 b 3 Q 7 L C Z x d W 9 0 O 1 d h Y X J 2 Y W 4 g Y W F u d G F s I G p l d W d k I C h 0 L 2 0 g M T U g a m F h c i k m c X V v d D s s J n F 1 b 3 Q 7 S 2 F u b 2 4 g Z X R j L i Z x d W 9 0 O y w m c X V v d D t Q Y W F y Z G V u I G V u L 2 9 m I G t v Z X R z Z W 4 m c X V v d D s s J n F 1 b 3 Q 7 V G 9 l b G l j a H R p b m c v b 3 B t Z X J r a W 5 n Z W 4 m c X V v d D s s J n F 1 b 3 Q 7 S W 5 6 Z W 5 k a W 5 n L U l E J n F 1 b 3 Q 7 L C Z x d W 9 0 O 0 l u e m V u Z G R h d H V t J n F 1 b 3 Q 7 L C Z x d W 9 0 O 0 R h d G U g V X B k Y X R l Z C Z x d W 9 0 O y w m c X V v d D t O Y W F t I H Z h b i B o Z X Q g a G 9 v Z m R r b 3 J w c y Z x d W 9 0 O y w m c X V v d D t a Y W w g b 3 A g d H J l Z G V u I G F s c y A o a G 9 v Z m R r b 3 J w c y k m c X V v d D s s J n F 1 b 3 Q 7 V m 9 y b S B 2 Y W 4 g d H d l Z S B t d X p p Z W t 3 Z X J r Z W 4 g K G h v b 2 Z k a 2 9 y c H M p J n F 1 b 3 Q 7 L C Z x d W 9 0 O 1 p h b C B 1 a X R r b 2 1 l b i B p b i B k Z T o g K G h v b 2 Z k a 2 9 y c H M p J n F 1 b 3 Q 7 L C Z x d W 9 0 O 0 1 1 e m l l a 3 d l c m s x I C h o b 2 9 m Z G t v c n B z K S Z x d W 9 0 O y w m c X V v d D t N d X p p Z W t 3 Z X J r M i A o a G 9 v Z m R r b 3 J w c y k m c X V v d D s s J n F 1 b 3 Q 7 S 2 9 y c H M g Y m V z d G F h d C B 1 a X Q g L i 4 u I G R l Z W x u Z W 1 l c n M g K G h v b 2 Z k a 2 9 y c H M p J n F 1 b 3 Q 7 L C Z x d W 9 0 O 1 d v c m R 0 I G V y I G d l Y n J 1 a W s g Z 2 V t Y W F r d C B 2 Y W 4 g b W V j a G F u a X N j a G U g b X V 6 a W V r P y Z x d W 9 0 O y w m c X V v d D t P b m R l c m R l b G V u J n F 1 b 3 Q 7 L C Z x d W 9 0 O 1 N l Y 3 R p Z X M m c X V v d D s s J n F 1 b 3 Q 7 T G V l Z n R p a m R z Y 2 F 0 Z W d v c m l l J n F 1 b 3 Q 7 X S I g L z 4 8 R W 5 0 c n k g V H l w Z T 0 i R m l s b E V y c m 9 y Q 2 9 k Z S I g V m F s d W U 9 I n N V b m t u b 3 d u I i A v P j x F b n R y e S B U e X B l P S J G a W x s U 3 R h d H V z I i B W Y W x 1 Z T 0 i c 0 N v b X B s Z X R l I i A v P j x F b n R y e S B U e X B l P S J G a W x s Q 2 9 1 b n Q i I F Z h b H V l P S J s M T Q i I C 8 + P E V u d H J 5 I F R 5 c G U 9 I l J l b G F 0 a W 9 u c 2 h p c E l u Z m 9 D b 2 5 0 Y W l u Z X I i I F Z h b H V l P S J z e y Z x d W 9 0 O 2 N v b H V t b k N v d W 5 0 J n F 1 b 3 Q 7 O j U z L C Z x d W 9 0 O 2 t l e U N v b H V t b k 5 h b W V z J n F 1 b 3 Q 7 O l t d L C Z x d W 9 0 O 3 F 1 Z X J 5 U m V s Y X R p b 2 5 z a G l w c y Z x d W 9 0 O z p b X S w m c X V v d D t j b 2 x 1 b W 5 J Z G V u d G l 0 a W V z J n F 1 b 3 Q 7 O l s m c X V v d D t T Z W N 0 a W 9 u M S 9 L R E w v Q X V 0 b 1 J l b W 9 2 Z W R D b 2 x 1 b W 5 z M S 5 7 S 3 J p b m d k Y W c s M H 0 m c X V v d D s s J n F 1 b 3 Q 7 U 2 V j d G l v b j E v S 0 R M L 0 F 1 d G 9 S Z W 1 v d m V k Q 2 9 s d W 1 u c z E u e 1 Z l c i 5 u c i 4 s M X 0 m c X V v d D s s J n F 1 b 3 Q 7 U 2 V j d G l v b j E v S 0 R M L 0 F 1 d G 9 S Z W 1 v d m V k Q 2 9 s d W 1 u c z E u e 0 5 h Y W 0 g d m V y Z W 5 p Z 2 l u Z y w y f S Z x d W 9 0 O y w m c X V v d D t T Z W N 0 a W 9 u M S 9 L R E w v Q X V 0 b 1 J l b W 9 2 Z W R D b 2 x 1 b W 5 z M S 5 7 R G V s Z W d h d G l l L D N 9 J n F 1 b 3 Q 7 L C Z x d W 9 0 O 1 N l Y 3 R p b 2 4 x L 0 t E T C 9 B d X R v U m V t b 3 Z l Z E N v b H V t b n M x L n t N d X p p Z W t r b 3 J w c y B 0 a W p k Z W 5 z I G 1 h c n M g Z W 4 g Z G V m a W x c d T A w R T k s N H 0 m c X V v d D s s J n F 1 b 3 Q 7 U 2 V j d G l v b j E v S 0 R M L 0 F 1 d G 9 S Z W 1 v d m V k Q 2 9 s d W 1 u c z E u e 0 R l Z W x u Y W 1 l I G p l d W d k a 2 9 u a W 5 n c 2 N o a W V 0 Z W 4 s N X 0 m c X V v d D s s J n F 1 b 3 Q 7 U 2 V j d G l v b j E v S 0 R M L 0 F 1 d G 9 S Z W 1 v d m V k Q 2 9 s d W 1 u c z E u e 0 1 h a i 4 g U 2 V u a W 9 y Z W 4 g a n V y Z X J l b i B i a W o g b W F y c y w 2 f S Z x d W 9 0 O y w m c X V v d D t T Z W N 0 a W 9 u M S 9 L R E w v Q X V 0 b 1 J l b W 9 2 Z W R D b 2 x 1 b W 5 z M S 5 7 T W F q L i B K Z X V n Z C B q d X J l c m V u I G J p a i B t Y X J z L D d 9 J n F 1 b 3 Q 7 L C Z x d W 9 0 O 1 N l Y 3 R p b 2 4 x L 0 t E T C 9 B d X R v U m V t b 3 Z l Z E N v b H V t b n M x L n t L b 3 J w c y B z Z W 5 p b 3 J l b i w 4 f S Z x d W 9 0 O y w m c X V v d D t T Z W N 0 a W 9 u M S 9 L R E w v Q X V 0 b 1 J l b W 9 2 Z W R D b 2 x 1 b W 5 z M S 5 7 S n V u a W 9 y Z W 4 g a 2 9 y c H M g M S w 5 f S Z x d W 9 0 O y w m c X V v d D t T Z W N 0 a W 9 u M S 9 L R E w v Q X V 0 b 1 J l b W 9 2 Z W R D b 2 x 1 b W 5 z M S 5 7 S n V u a W 9 y Z W 4 g a 2 9 y c H M g M i w x M H 0 m c X V v d D s s J n F 1 b 3 Q 7 U 2 V j d G l v b j E v S 0 R M L 0 F 1 d G 9 S Z W 1 v d m V k Q 2 9 s d W 1 u c z E u e 0 F z c G l y Y W 5 0 Z W 4 g a 2 9 y c H M g M S w x M X 0 m c X V v d D s s J n F 1 b 3 Q 7 U 2 V j d G l v b j E v S 0 R M L 0 F 1 d G 9 S Z W 1 v d m V k Q 2 9 s d W 1 u c z E u e 0 F z c G l y Y W 5 0 Z W 4 g a 2 9 y c H M g M i w x M n 0 m c X V v d D s s J n F 1 b 3 Q 7 U 2 V j d G l v b j E v S 0 R M L 0 F 1 d G 9 S Z W 1 v d m V k Q 2 9 s d W 1 u c z E u e 0 F j c m 9 i Y X R p c 2 N o I H N l b m l v c m V u L D E z f S Z x d W 9 0 O y w m c X V v d D t T Z W N 0 a W 9 u M S 9 L R E w v Q X V 0 b 1 J l b W 9 2 Z W R D b 2 x 1 b W 5 z M S 5 7 Q W N y b 2 J h d G l z Y 2 g g a n V u a W 9 y Z W 4 s M T R 9 J n F 1 b 3 Q 7 L C Z x d W 9 0 O 1 N l Y 3 R p b 2 4 x L 0 t E T C 9 B d X R v U m V t b 3 Z l Z E N v b H V t b n M x L n t B Y 3 J v Y m F 0 a X N j a C B h c 3 B p c m F u d G V u L D E 1 f S Z x d W 9 0 O y w m c X V v d D t T Z W N 0 a W 9 u M S 9 L R E w v Q X V 0 b 1 J l b W 9 2 Z W R D b 2 x 1 b W 5 z M S 5 7 T 3 B n Z X Z l b i B 2 Z W 5 k Z W x p Z X J z I G l u Z C 4 s M T Z 9 J n F 1 b 3 Q 7 L C Z x d W 9 0 O 1 N l Y 3 R p b 2 4 x L 0 t E T C 9 B d X R v U m V t b 3 Z l Z E N v b H V t b n M x L n t B Y 3 J v Y i 4 g c 2 V u a W 9 y Z W 4 g a W 5 k a X Y u L D E 3 f S Z x d W 9 0 O y w m c X V v d D t T Z W N 0 a W 9 u M S 9 L R E w v Q X V 0 b 1 J l b W 9 2 Z W R D b 2 x 1 b W 5 z M S 5 7 Q W N y b 2 I u I G p 1 b m l v c m V u I G l u Z G l 2 L i w x O H 0 m c X V v d D s s J n F 1 b 3 Q 7 U 2 V j d G l v b j E v S 0 R M L 0 F 1 d G 9 S Z W 1 v d m V k Q 2 9 s d W 1 u c z E u e 0 F j c m 9 i L i B h c 3 B p c m F u d G V u I G l u Z G l 2 L i w x O X 0 m c X V v d D s s J n F 1 b 3 Q 7 U 2 V j d G l v b j E v S 0 R M L 0 F 1 d G 9 S Z W 1 v d m V k Q 2 9 s d W 1 u c z E u e 0 R l Z W x u Y W 1 l I G h v b 2 Z k a 2 9 y c H M s M j B 9 J n F 1 b 3 Q 7 L C Z x d W 9 0 O 1 N l Y 3 R p b 2 4 x L 0 t E T C 9 B d X R v U m V t b 3 Z l Z E N v b H V t b n M x L n t H c m 9 l c G V u L C B 0 Z W F t c y w g Z W 5 z Z W 1 i b G V z I G V u I G R 1 b 1 x 1 M D A y N 3 M s M j F 9 J n F 1 b 3 Q 7 L C Z x d W 9 0 O 1 N l Y 3 R p b 2 4 x L 0 t E T C 9 B d X R v U m V t b 3 Z l Z E N v b H V t b n M x L n t B Y W 5 0 Y W w g b 3 B n Z W d l d m V u I G 1 h a m 9 y Z X R 0 Z X M s M j J 9 J n F 1 b 3 Q 7 L C Z x d W 9 0 O 1 N l Y 3 R p b 2 4 x L 0 t E T C 9 B d X R v U m V t b 3 Z l Z E N v b H V t b n M x L n t P c G d l d m V u I G J p Z W x l b W F u b m V u L D I z f S Z x d W 9 0 O y w m c X V v d D t T Z W N 0 a W 9 u M S 9 L R E w v Q X V 0 b 1 J l b W 9 2 Z W R D b 2 x 1 b W 5 z M S 5 7 U 2 V u a W 9 y Z W 4 s M j R 9 J n F 1 b 3 Q 7 L C Z x d W 9 0 O 1 N l Y 3 R p b 2 4 x L 0 t E T C 9 B d X R v U m V t b 3 Z l Z E N v b H V t b n M x L n t K b 2 5 n I F Z v b H d h c 3 N l b m U s M j V 9 J n F 1 b 3 Q 7 L C Z x d W 9 0 O 1 N l Y 3 R p b 2 4 x L 0 t E T C 9 B d X R v U m V t b 3 Z l Z E N v b H V t b n M x L n t K d W 5 p b 3 J l b i w y N n 0 m c X V v d D s s J n F 1 b 3 Q 7 U 2 V j d G l v b j E v S 0 R M L 0 F 1 d G 9 S Z W 1 v d m V k Q 2 9 s d W 1 u c z E u e 0 F z c G l y Y W 5 0 Z W 4 s M j d 9 J n F 1 b 3 Q 7 L C Z x d W 9 0 O 1 N l Y 3 R p b 2 4 x L 0 t E T C 9 B d X R v U m V t b 3 Z l Z E N v b H V t b n M x L n t E Z W V s b m F t Z S B t Y X J r Z X R l b n R z d G V y c y w y O H 0 m c X V v d D s s J n F 1 b 3 Q 7 U 2 V j d G l v b j E v S 0 R M L 0 F 1 d G 9 S Z W 1 v d m V k Q 2 9 s d W 1 u c z E u e 0 F h b n R h b C B s d W N o d G d l d 2 V l c n N j a H V 0 d G V y c y w y O X 0 m c X V v d D s s J n F 1 b 3 Q 7 U 2 V j d G l v b j E v S 0 R M L 0 F 1 d G 9 S Z W 1 v d m V k Q 2 9 s d W 1 u c z E u e 0 F h b n R h b C B s d W N o d H B p c 3 R v b 2 x z Y 2 h 1 d H R l c n M s M z B 9 J n F 1 b 3 Q 7 L C Z x d W 9 0 O 1 N l Y 3 R p b 2 4 x L 0 t E T C 9 B d X R v U m V t b 3 Z l Z E N v b H V t b n M x L n t B Y W 5 0 Y W w g a G F u Z G J v b 2 d z Y 2 h 1 d H R l c n M s M z F 9 J n F 1 b 3 Q 7 L C Z x d W 9 0 O 1 N l Y 3 R p b 2 4 x L 0 t E T C 9 B d X R v U m V t b 3 Z l Z E N v b H V t b n M x L n t B Y W 5 0 Y W w g a 3 J 1 a X N i b 2 9 n c 2 N o d X R 0 Z X J z L D M y f S Z x d W 9 0 O y w m c X V v d D t T Z W N 0 a W 9 u M S 9 L R E w v Q X V 0 b 1 J l b W 9 2 Z W R D b 2 x 1 b W 5 z M S 5 7 K E F h b n R h b C B q Z X V n Z G t v c n B z Z W 4 s M z N 9 J n F 1 b 3 Q 7 L C Z x d W 9 0 O 1 N l Y 3 R p b 2 4 x L 0 t E T C 9 B d X R v U m V t b 3 Z l Z E N v b H V t b n M x L n t U b 3 R h Y W w g Y W F u d G F s I G R l Z W x u Z W 1 l c n M s M z R 9 J n F 1 b 3 Q 7 L C Z x d W 9 0 O 1 N l Y 3 R p b 2 4 x L 0 t E T C 9 B d X R v U m V t b 3 Z l Z E N v b H V t b n M x L n t X Y W F y d m F u I G F h b n R h b C B q Z X V n Z C A o d C 9 t I D E 1 I G p h Y X I p L D M 1 f S Z x d W 9 0 O y w m c X V v d D t T Z W N 0 a W 9 u M S 9 L R E w v Q X V 0 b 1 J l b W 9 2 Z W R D b 2 x 1 b W 5 z M S 5 7 S 2 F u b 2 4 g Z X R j L i w z N n 0 m c X V v d D s s J n F 1 b 3 Q 7 U 2 V j d G l v b j E v S 0 R M L 0 F 1 d G 9 S Z W 1 v d m V k Q 2 9 s d W 1 u c z E u e 1 B h Y X J k Z W 4 g Z W 4 v b 2 Y g a 2 9 l d H N l b i w z N 3 0 m c X V v d D s s J n F 1 b 3 Q 7 U 2 V j d G l v b j E v S 0 R M L 0 F 1 d G 9 S Z W 1 v d m V k Q 2 9 s d W 1 u c z E u e 1 R v Z W x p Y 2 h 0 a W 5 n L 2 9 w b W V y a 2 l u Z 2 V u L D M 4 f S Z x d W 9 0 O y w m c X V v d D t T Z W N 0 a W 9 u M S 9 L R E w v Q X V 0 b 1 J l b W 9 2 Z W R D b 2 x 1 b W 5 z M S 5 7 S W 5 6 Z W 5 k a W 5 n L U l E L D M 5 f S Z x d W 9 0 O y w m c X V v d D t T Z W N 0 a W 9 u M S 9 L R E w v Q X V 0 b 1 J l b W 9 2 Z W R D b 2 x 1 b W 5 z M S 5 7 S W 5 6 Z W 5 k Z G F 0 d W 0 s N D B 9 J n F 1 b 3 Q 7 L C Z x d W 9 0 O 1 N l Y 3 R p b 2 4 x L 0 t E T C 9 B d X R v U m V t b 3 Z l Z E N v b H V t b n M x L n t E Y X R l I F V w Z G F 0 Z W Q s N D F 9 J n F 1 b 3 Q 7 L C Z x d W 9 0 O 1 N l Y 3 R p b 2 4 x L 0 t E T C 9 B d X R v U m V t b 3 Z l Z E N v b H V t b n M x L n t O Y W F t I H Z h b i B o Z X Q g a G 9 v Z m R r b 3 J w c y w 0 M n 0 m c X V v d D s s J n F 1 b 3 Q 7 U 2 V j d G l v b j E v S 0 R M L 0 F 1 d G 9 S Z W 1 v d m V k Q 2 9 s d W 1 u c z E u e 1 p h b C B v c C B 0 c m V k Z W 4 g Y W x z I C h o b 2 9 m Z G t v c n B z K S w 0 M 3 0 m c X V v d D s s J n F 1 b 3 Q 7 U 2 V j d G l v b j E v S 0 R M L 0 F 1 d G 9 S Z W 1 v d m V k Q 2 9 s d W 1 u c z E u e 1 Z v c m 0 g d m F u I H R 3 Z W U g b X V 6 a W V r d 2 V y a 2 V u I C h o b 2 9 m Z G t v c n B z K S w 0 N H 0 m c X V v d D s s J n F 1 b 3 Q 7 U 2 V j d G l v b j E v S 0 R M L 0 F 1 d G 9 S Z W 1 v d m V k Q 2 9 s d W 1 u c z E u e 1 p h b C B 1 a X R r b 2 1 l b i B p b i B k Z T o g K G h v b 2 Z k a 2 9 y c H M p L D Q 1 f S Z x d W 9 0 O y w m c X V v d D t T Z W N 0 a W 9 u M S 9 L R E w v Q X V 0 b 1 J l b W 9 2 Z W R D b 2 x 1 b W 5 z M S 5 7 T X V 6 a W V r d 2 V y a z E g K G h v b 2 Z k a 2 9 y c H M p L D Q 2 f S Z x d W 9 0 O y w m c X V v d D t T Z W N 0 a W 9 u M S 9 L R E w v Q X V 0 b 1 J l b W 9 2 Z W R D b 2 x 1 b W 5 z M S 5 7 T X V 6 a W V r d 2 V y a z I g K G h v b 2 Z k a 2 9 y c H M p L D Q 3 f S Z x d W 9 0 O y w m c X V v d D t T Z W N 0 a W 9 u M S 9 L R E w v Q X V 0 b 1 J l b W 9 2 Z W R D b 2 x 1 b W 5 z M S 5 7 S 2 9 y c H M g Y m V z d G F h d C B 1 a X Q g L i 4 u I G R l Z W x u Z W 1 l c n M g K G h v b 2 Z k a 2 9 y c H M p L D Q 4 f S Z x d W 9 0 O y w m c X V v d D t T Z W N 0 a W 9 u M S 9 L R E w v Q X V 0 b 1 J l b W 9 2 Z W R D b 2 x 1 b W 5 z M S 5 7 V 2 9 y Z H Q g Z X I g Z 2 V i c n V p a y B n Z W 1 h Y W t 0 I H Z h b i B t Z W N o Y W 5 p c 2 N o Z S B t d X p p Z W s / L D Q 5 f S Z x d W 9 0 O y w m c X V v d D t T Z W N 0 a W 9 u M S 9 L R E w v Q X V 0 b 1 J l b W 9 2 Z W R D b 2 x 1 b W 5 z M S 5 7 T 2 5 k Z X J k Z W x l b i w 1 M H 0 m c X V v d D s s J n F 1 b 3 Q 7 U 2 V j d G l v b j E v S 0 R M L 0 F 1 d G 9 S Z W 1 v d m V k Q 2 9 s d W 1 u c z E u e 1 N l Y 3 R p Z X M s N T F 9 J n F 1 b 3 Q 7 L C Z x d W 9 0 O 1 N l Y 3 R p b 2 4 x L 0 t E T C 9 B d X R v U m V t b 3 Z l Z E N v b H V t b n M x L n t M Z W V m d G l q Z H N j Y X R l Z 2 9 y a W U s N T J 9 J n F 1 b 3 Q 7 X S w m c X V v d D t D b 2 x 1 b W 5 D b 3 V u d C Z x d W 9 0 O z o 1 M y w m c X V v d D t L Z X l D b 2 x 1 b W 5 O Y W 1 l c y Z x d W 9 0 O z p b X S w m c X V v d D t D b 2 x 1 b W 5 J Z G V u d G l 0 a W V z J n F 1 b 3 Q 7 O l s m c X V v d D t T Z W N 0 a W 9 u M S 9 L R E w v Q X V 0 b 1 J l b W 9 2 Z W R D b 2 x 1 b W 5 z M S 5 7 S 3 J p b m d k Y W c s M H 0 m c X V v d D s s J n F 1 b 3 Q 7 U 2 V j d G l v b j E v S 0 R M L 0 F 1 d G 9 S Z W 1 v d m V k Q 2 9 s d W 1 u c z E u e 1 Z l c i 5 u c i 4 s M X 0 m c X V v d D s s J n F 1 b 3 Q 7 U 2 V j d G l v b j E v S 0 R M L 0 F 1 d G 9 S Z W 1 v d m V k Q 2 9 s d W 1 u c z E u e 0 5 h Y W 0 g d m V y Z W 5 p Z 2 l u Z y w y f S Z x d W 9 0 O y w m c X V v d D t T Z W N 0 a W 9 u M S 9 L R E w v Q X V 0 b 1 J l b W 9 2 Z W R D b 2 x 1 b W 5 z M S 5 7 R G V s Z W d h d G l l L D N 9 J n F 1 b 3 Q 7 L C Z x d W 9 0 O 1 N l Y 3 R p b 2 4 x L 0 t E T C 9 B d X R v U m V t b 3 Z l Z E N v b H V t b n M x L n t N d X p p Z W t r b 3 J w c y B 0 a W p k Z W 5 z I G 1 h c n M g Z W 4 g Z G V m a W x c d T A w R T k s N H 0 m c X V v d D s s J n F 1 b 3 Q 7 U 2 V j d G l v b j E v S 0 R M L 0 F 1 d G 9 S Z W 1 v d m V k Q 2 9 s d W 1 u c z E u e 0 R l Z W x u Y W 1 l I G p l d W d k a 2 9 u a W 5 n c 2 N o a W V 0 Z W 4 s N X 0 m c X V v d D s s J n F 1 b 3 Q 7 U 2 V j d G l v b j E v S 0 R M L 0 F 1 d G 9 S Z W 1 v d m V k Q 2 9 s d W 1 u c z E u e 0 1 h a i 4 g U 2 V u a W 9 y Z W 4 g a n V y Z X J l b i B i a W o g b W F y c y w 2 f S Z x d W 9 0 O y w m c X V v d D t T Z W N 0 a W 9 u M S 9 L R E w v Q X V 0 b 1 J l b W 9 2 Z W R D b 2 x 1 b W 5 z M S 5 7 T W F q L i B K Z X V n Z C B q d X J l c m V u I G J p a i B t Y X J z L D d 9 J n F 1 b 3 Q 7 L C Z x d W 9 0 O 1 N l Y 3 R p b 2 4 x L 0 t E T C 9 B d X R v U m V t b 3 Z l Z E N v b H V t b n M x L n t L b 3 J w c y B z Z W 5 p b 3 J l b i w 4 f S Z x d W 9 0 O y w m c X V v d D t T Z W N 0 a W 9 u M S 9 L R E w v Q X V 0 b 1 J l b W 9 2 Z W R D b 2 x 1 b W 5 z M S 5 7 S n V u a W 9 y Z W 4 g a 2 9 y c H M g M S w 5 f S Z x d W 9 0 O y w m c X V v d D t T Z W N 0 a W 9 u M S 9 L R E w v Q X V 0 b 1 J l b W 9 2 Z W R D b 2 x 1 b W 5 z M S 5 7 S n V u a W 9 y Z W 4 g a 2 9 y c H M g M i w x M H 0 m c X V v d D s s J n F 1 b 3 Q 7 U 2 V j d G l v b j E v S 0 R M L 0 F 1 d G 9 S Z W 1 v d m V k Q 2 9 s d W 1 u c z E u e 0 F z c G l y Y W 5 0 Z W 4 g a 2 9 y c H M g M S w x M X 0 m c X V v d D s s J n F 1 b 3 Q 7 U 2 V j d G l v b j E v S 0 R M L 0 F 1 d G 9 S Z W 1 v d m V k Q 2 9 s d W 1 u c z E u e 0 F z c G l y Y W 5 0 Z W 4 g a 2 9 y c H M g M i w x M n 0 m c X V v d D s s J n F 1 b 3 Q 7 U 2 V j d G l v b j E v S 0 R M L 0 F 1 d G 9 S Z W 1 v d m V k Q 2 9 s d W 1 u c z E u e 0 F j c m 9 i Y X R p c 2 N o I H N l b m l v c m V u L D E z f S Z x d W 9 0 O y w m c X V v d D t T Z W N 0 a W 9 u M S 9 L R E w v Q X V 0 b 1 J l b W 9 2 Z W R D b 2 x 1 b W 5 z M S 5 7 Q W N y b 2 J h d G l z Y 2 g g a n V u a W 9 y Z W 4 s M T R 9 J n F 1 b 3 Q 7 L C Z x d W 9 0 O 1 N l Y 3 R p b 2 4 x L 0 t E T C 9 B d X R v U m V t b 3 Z l Z E N v b H V t b n M x L n t B Y 3 J v Y m F 0 a X N j a C B h c 3 B p c m F u d G V u L D E 1 f S Z x d W 9 0 O y w m c X V v d D t T Z W N 0 a W 9 u M S 9 L R E w v Q X V 0 b 1 J l b W 9 2 Z W R D b 2 x 1 b W 5 z M S 5 7 T 3 B n Z X Z l b i B 2 Z W 5 k Z W x p Z X J z I G l u Z C 4 s M T Z 9 J n F 1 b 3 Q 7 L C Z x d W 9 0 O 1 N l Y 3 R p b 2 4 x L 0 t E T C 9 B d X R v U m V t b 3 Z l Z E N v b H V t b n M x L n t B Y 3 J v Y i 4 g c 2 V u a W 9 y Z W 4 g a W 5 k a X Y u L D E 3 f S Z x d W 9 0 O y w m c X V v d D t T Z W N 0 a W 9 u M S 9 L R E w v Q X V 0 b 1 J l b W 9 2 Z W R D b 2 x 1 b W 5 z M S 5 7 Q W N y b 2 I u I G p 1 b m l v c m V u I G l u Z G l 2 L i w x O H 0 m c X V v d D s s J n F 1 b 3 Q 7 U 2 V j d G l v b j E v S 0 R M L 0 F 1 d G 9 S Z W 1 v d m V k Q 2 9 s d W 1 u c z E u e 0 F j c m 9 i L i B h c 3 B p c m F u d G V u I G l u Z G l 2 L i w x O X 0 m c X V v d D s s J n F 1 b 3 Q 7 U 2 V j d G l v b j E v S 0 R M L 0 F 1 d G 9 S Z W 1 v d m V k Q 2 9 s d W 1 u c z E u e 0 R l Z W x u Y W 1 l I G h v b 2 Z k a 2 9 y c H M s M j B 9 J n F 1 b 3 Q 7 L C Z x d W 9 0 O 1 N l Y 3 R p b 2 4 x L 0 t E T C 9 B d X R v U m V t b 3 Z l Z E N v b H V t b n M x L n t H c m 9 l c G V u L C B 0 Z W F t c y w g Z W 5 z Z W 1 i b G V z I G V u I G R 1 b 1 x 1 M D A y N 3 M s M j F 9 J n F 1 b 3 Q 7 L C Z x d W 9 0 O 1 N l Y 3 R p b 2 4 x L 0 t E T C 9 B d X R v U m V t b 3 Z l Z E N v b H V t b n M x L n t B Y W 5 0 Y W w g b 3 B n Z W d l d m V u I G 1 h a m 9 y Z X R 0 Z X M s M j J 9 J n F 1 b 3 Q 7 L C Z x d W 9 0 O 1 N l Y 3 R p b 2 4 x L 0 t E T C 9 B d X R v U m V t b 3 Z l Z E N v b H V t b n M x L n t P c G d l d m V u I G J p Z W x l b W F u b m V u L D I z f S Z x d W 9 0 O y w m c X V v d D t T Z W N 0 a W 9 u M S 9 L R E w v Q X V 0 b 1 J l b W 9 2 Z W R D b 2 x 1 b W 5 z M S 5 7 U 2 V u a W 9 y Z W 4 s M j R 9 J n F 1 b 3 Q 7 L C Z x d W 9 0 O 1 N l Y 3 R p b 2 4 x L 0 t E T C 9 B d X R v U m V t b 3 Z l Z E N v b H V t b n M x L n t K b 2 5 n I F Z v b H d h c 3 N l b m U s M j V 9 J n F 1 b 3 Q 7 L C Z x d W 9 0 O 1 N l Y 3 R p b 2 4 x L 0 t E T C 9 B d X R v U m V t b 3 Z l Z E N v b H V t b n M x L n t K d W 5 p b 3 J l b i w y N n 0 m c X V v d D s s J n F 1 b 3 Q 7 U 2 V j d G l v b j E v S 0 R M L 0 F 1 d G 9 S Z W 1 v d m V k Q 2 9 s d W 1 u c z E u e 0 F z c G l y Y W 5 0 Z W 4 s M j d 9 J n F 1 b 3 Q 7 L C Z x d W 9 0 O 1 N l Y 3 R p b 2 4 x L 0 t E T C 9 B d X R v U m V t b 3 Z l Z E N v b H V t b n M x L n t E Z W V s b m F t Z S B t Y X J r Z X R l b n R z d G V y c y w y O H 0 m c X V v d D s s J n F 1 b 3 Q 7 U 2 V j d G l v b j E v S 0 R M L 0 F 1 d G 9 S Z W 1 v d m V k Q 2 9 s d W 1 u c z E u e 0 F h b n R h b C B s d W N o d G d l d 2 V l c n N j a H V 0 d G V y c y w y O X 0 m c X V v d D s s J n F 1 b 3 Q 7 U 2 V j d G l v b j E v S 0 R M L 0 F 1 d G 9 S Z W 1 v d m V k Q 2 9 s d W 1 u c z E u e 0 F h b n R h b C B s d W N o d H B p c 3 R v b 2 x z Y 2 h 1 d H R l c n M s M z B 9 J n F 1 b 3 Q 7 L C Z x d W 9 0 O 1 N l Y 3 R p b 2 4 x L 0 t E T C 9 B d X R v U m V t b 3 Z l Z E N v b H V t b n M x L n t B Y W 5 0 Y W w g a G F u Z G J v b 2 d z Y 2 h 1 d H R l c n M s M z F 9 J n F 1 b 3 Q 7 L C Z x d W 9 0 O 1 N l Y 3 R p b 2 4 x L 0 t E T C 9 B d X R v U m V t b 3 Z l Z E N v b H V t b n M x L n t B Y W 5 0 Y W w g a 3 J 1 a X N i b 2 9 n c 2 N o d X R 0 Z X J z L D M y f S Z x d W 9 0 O y w m c X V v d D t T Z W N 0 a W 9 u M S 9 L R E w v Q X V 0 b 1 J l b W 9 2 Z W R D b 2 x 1 b W 5 z M S 5 7 K E F h b n R h b C B q Z X V n Z G t v c n B z Z W 4 s M z N 9 J n F 1 b 3 Q 7 L C Z x d W 9 0 O 1 N l Y 3 R p b 2 4 x L 0 t E T C 9 B d X R v U m V t b 3 Z l Z E N v b H V t b n M x L n t U b 3 R h Y W w g Y W F u d G F s I G R l Z W x u Z W 1 l c n M s M z R 9 J n F 1 b 3 Q 7 L C Z x d W 9 0 O 1 N l Y 3 R p b 2 4 x L 0 t E T C 9 B d X R v U m V t b 3 Z l Z E N v b H V t b n M x L n t X Y W F y d m F u I G F h b n R h b C B q Z X V n Z C A o d C 9 t I D E 1 I G p h Y X I p L D M 1 f S Z x d W 9 0 O y w m c X V v d D t T Z W N 0 a W 9 u M S 9 L R E w v Q X V 0 b 1 J l b W 9 2 Z W R D b 2 x 1 b W 5 z M S 5 7 S 2 F u b 2 4 g Z X R j L i w z N n 0 m c X V v d D s s J n F 1 b 3 Q 7 U 2 V j d G l v b j E v S 0 R M L 0 F 1 d G 9 S Z W 1 v d m V k Q 2 9 s d W 1 u c z E u e 1 B h Y X J k Z W 4 g Z W 4 v b 2 Y g a 2 9 l d H N l b i w z N 3 0 m c X V v d D s s J n F 1 b 3 Q 7 U 2 V j d G l v b j E v S 0 R M L 0 F 1 d G 9 S Z W 1 v d m V k Q 2 9 s d W 1 u c z E u e 1 R v Z W x p Y 2 h 0 a W 5 n L 2 9 w b W V y a 2 l u Z 2 V u L D M 4 f S Z x d W 9 0 O y w m c X V v d D t T Z W N 0 a W 9 u M S 9 L R E w v Q X V 0 b 1 J l b W 9 2 Z W R D b 2 x 1 b W 5 z M S 5 7 S W 5 6 Z W 5 k a W 5 n L U l E L D M 5 f S Z x d W 9 0 O y w m c X V v d D t T Z W N 0 a W 9 u M S 9 L R E w v Q X V 0 b 1 J l b W 9 2 Z W R D b 2 x 1 b W 5 z M S 5 7 S W 5 6 Z W 5 k Z G F 0 d W 0 s N D B 9 J n F 1 b 3 Q 7 L C Z x d W 9 0 O 1 N l Y 3 R p b 2 4 x L 0 t E T C 9 B d X R v U m V t b 3 Z l Z E N v b H V t b n M x L n t E Y X R l I F V w Z G F 0 Z W Q s N D F 9 J n F 1 b 3 Q 7 L C Z x d W 9 0 O 1 N l Y 3 R p b 2 4 x L 0 t E T C 9 B d X R v U m V t b 3 Z l Z E N v b H V t b n M x L n t O Y W F t I H Z h b i B o Z X Q g a G 9 v Z m R r b 3 J w c y w 0 M n 0 m c X V v d D s s J n F 1 b 3 Q 7 U 2 V j d G l v b j E v S 0 R M L 0 F 1 d G 9 S Z W 1 v d m V k Q 2 9 s d W 1 u c z E u e 1 p h b C B v c C B 0 c m V k Z W 4 g Y W x z I C h o b 2 9 m Z G t v c n B z K S w 0 M 3 0 m c X V v d D s s J n F 1 b 3 Q 7 U 2 V j d G l v b j E v S 0 R M L 0 F 1 d G 9 S Z W 1 v d m V k Q 2 9 s d W 1 u c z E u e 1 Z v c m 0 g d m F u I H R 3 Z W U g b X V 6 a W V r d 2 V y a 2 V u I C h o b 2 9 m Z G t v c n B z K S w 0 N H 0 m c X V v d D s s J n F 1 b 3 Q 7 U 2 V j d G l v b j E v S 0 R M L 0 F 1 d G 9 S Z W 1 v d m V k Q 2 9 s d W 1 u c z E u e 1 p h b C B 1 a X R r b 2 1 l b i B p b i B k Z T o g K G h v b 2 Z k a 2 9 y c H M p L D Q 1 f S Z x d W 9 0 O y w m c X V v d D t T Z W N 0 a W 9 u M S 9 L R E w v Q X V 0 b 1 J l b W 9 2 Z W R D b 2 x 1 b W 5 z M S 5 7 T X V 6 a W V r d 2 V y a z E g K G h v b 2 Z k a 2 9 y c H M p L D Q 2 f S Z x d W 9 0 O y w m c X V v d D t T Z W N 0 a W 9 u M S 9 L R E w v Q X V 0 b 1 J l b W 9 2 Z W R D b 2 x 1 b W 5 z M S 5 7 T X V 6 a W V r d 2 V y a z I g K G h v b 2 Z k a 2 9 y c H M p L D Q 3 f S Z x d W 9 0 O y w m c X V v d D t T Z W N 0 a W 9 u M S 9 L R E w v Q X V 0 b 1 J l b W 9 2 Z W R D b 2 x 1 b W 5 z M S 5 7 S 2 9 y c H M g Y m V z d G F h d C B 1 a X Q g L i 4 u I G R l Z W x u Z W 1 l c n M g K G h v b 2 Z k a 2 9 y c H M p L D Q 4 f S Z x d W 9 0 O y w m c X V v d D t T Z W N 0 a W 9 u M S 9 L R E w v Q X V 0 b 1 J l b W 9 2 Z W R D b 2 x 1 b W 5 z M S 5 7 V 2 9 y Z H Q g Z X I g Z 2 V i c n V p a y B n Z W 1 h Y W t 0 I H Z h b i B t Z W N o Y W 5 p c 2 N o Z S B t d X p p Z W s / L D Q 5 f S Z x d W 9 0 O y w m c X V v d D t T Z W N 0 a W 9 u M S 9 L R E w v Q X V 0 b 1 J l b W 9 2 Z W R D b 2 x 1 b W 5 z M S 5 7 T 2 5 k Z X J k Z W x l b i w 1 M H 0 m c X V v d D s s J n F 1 b 3 Q 7 U 2 V j d G l v b j E v S 0 R M L 0 F 1 d G 9 S Z W 1 v d m V k Q 2 9 s d W 1 u c z E u e 1 N l Y 3 R p Z X M s N T F 9 J n F 1 b 3 Q 7 L C Z x d W 9 0 O 1 N l Y 3 R p b 2 4 x L 0 t E T C 9 B d X R v U m V t b 3 Z l Z E N v b H V t b n M x L n t M Z W V m d G l q Z H N j Y X R l Z 2 9 y a W U s N T J 9 J n F 1 b 3 Q 7 X S w m c X V v d D t S Z W x h d G l v b n N o a X B J b m Z v J n F 1 b 3 Q 7 O l t d f S I g L z 4 8 R W 5 0 c n k g V H l w Z T 0 i Q W R k Z W R U b 0 R h d G F N b 2 R l b C I g V m F s d W U 9 I m w w I i A v P j w v U 3 R h Y m x l R W 5 0 c m l l c z 4 8 L 0 l 0 Z W 0 + P E l 0 Z W 0 + P E l 0 Z W 1 M b 2 N h d G l v b j 4 8 S X R l b V R 5 c G U + R m 9 y b X V s Y T w v S X R l b V R 5 c G U + P E l 0 Z W 1 Q Y X R o P l N l Y 3 R p b 2 4 x L 0 t E T C 9 C c m 9 u P C 9 J d G V t U G F 0 a D 4 8 L 0 l 0 Z W 1 M b 2 N h d G l v b j 4 8 U 3 R h Y m x l R W 5 0 c m l l c y A v P j w v S X R l b T 4 8 S X R l b T 4 8 S X R l b U x v Y 2 F 0 a W 9 u P j x J d G V t V H l w Z T 5 G b 3 J t d W x h P C 9 J d G V t V H l w Z T 4 8 S X R l b V B h d G g + U 2 V j d G l v b j E v S 0 R M L 0 h l Y W R l c n M l M j B t Z X Q l M j B 2 Z X J o b 2 9 n Z C U y M G 5 p d m V h d T w v S X R l b V B h d G g + P C 9 J d G V t T G 9 j Y X R p b 2 4 + P F N 0 Y W J s Z U V u d H J p Z X M g L z 4 8 L 0 l 0 Z W 0 + P E l 0 Z W 0 + P E l 0 Z W 1 M b 2 N h d G l v b j 4 8 S X R l b V R 5 c G U + R m 9 y b X V s Y T w v S X R l b V R 5 c G U + P E l 0 Z W 1 Q Y X R o P l N l Y 3 R p b 2 4 x L 0 t E T C 9 I Z X Q l M j B r b 2 x v b X R 5 c G U l M j B p c y U y M G d l d 2 l q e m l n Z D w v S X R l b V B h d G g + P C 9 J d G V t T G 9 j Y X R p b 2 4 + P F N 0 Y W J s Z U V u d H J p Z X M g L z 4 8 L 0 l 0 Z W 0 + P E l 0 Z W 0 + P E l 0 Z W 1 M b 2 N h d G l v b j 4 8 S X R l b V R 5 c G U + R m 9 y b X V s Y T w v S X R l b V R 5 c G U + P E l 0 Z W 1 Q Y X R o P l N l Y 3 R p b 2 4 x L 0 t E T C 9 B Y W 5 n Z X B h c 3 Q l M j B p d G V t J T I w d G 9 l Z 2 V 2 b 2 V n Z D w v S X R l b V B h d G g + P C 9 J d G V t T G 9 j Y X R p b 2 4 + P F N 0 Y W J s Z U V u d H J p Z X M g L z 4 8 L 0 l 0 Z W 0 + P E l 0 Z W 0 + P E l 0 Z W 1 M b 2 N h d G l v b j 4 8 S X R l b V R 5 c G U + R m 9 y b X V s Y T w v S X R l b V R 5 c G U + P E l 0 Z W 1 Q Y X R o P l N l Y 3 R p b 2 4 x L 0 t E T C 9 W b 2 9 y d 2 F h c m R l b G l q a 2 U l M j B r b 2 x v b S U y M G l u Z 2 V 2 b 2 V n Z D w v S X R l b V B h d G g + P C 9 J d G V t T G 9 j Y X R p b 2 4 + P F N 0 Y W J s Z U V u d H J p Z X M g L z 4 8 L 0 l 0 Z W 0 + P E l 0 Z W 0 + P E l 0 Z W 1 M b 2 N h d G l v b j 4 8 S X R l b V R 5 c G U + R m 9 y b X V s Y T w v S X R l b V R 5 c G U + P E l 0 Z W 1 Q Y X R o P l N l Y 3 R p b 2 4 x L 0 t E T C 9 B Y W 5 n Z X B h c 3 Q l M j B p d G V t J T I w d G 9 l Z 2 V 2 b 2 V n Z D E 8 L 0 l 0 Z W 1 Q Y X R o P j w v S X R l b U x v Y 2 F 0 a W 9 u P j x T d G F i b G V F b n R y a W V z I C 8 + P C 9 J d G V t P j x J d G V t P j x J d G V t T G 9 j Y X R p b 2 4 + P E l 0 Z W 1 U e X B l P k Z v c m 1 1 b G E 8 L 0 l 0 Z W 1 U e X B l P j x J d G V t U G F 0 a D 5 T Z W N 0 a W 9 u M S 9 L R E w v V m 9 v c n d h Y X J k Z W x p a m t l J T I w a 2 9 s b 2 0 l M j B p b m d l d m 9 l Z 2 Q x P C 9 J d G V t U G F 0 a D 4 8 L 0 l 0 Z W 1 M b 2 N h d G l v b j 4 8 U 3 R h Y m x l R W 5 0 c m l l c y A v P j w v S X R l b T 4 8 S X R l b T 4 8 S X R l b U x v Y 2 F 0 a W 9 u P j x J d G V t V H l w Z T 5 G b 3 J t d W x h P C 9 J d G V t V H l w Z T 4 8 S X R l b V B h d G g + U 2 V j d G l v b j E v S 0 R M L 0 F h b m d l c G F z d C U y M G l 0 Z W 0 l M j B 0 b 2 V n Z X Z v Z W d k M j w v S X R l b V B h d G g + P C 9 J d G V t T G 9 j Y X R p b 2 4 + P F N 0 Y W J s Z U V u d H J p Z X M g L z 4 8 L 0 l 0 Z W 0 + P E l 0 Z W 0 + P E l 0 Z W 1 M b 2 N h d G l v b j 4 8 S X R l b V R 5 c G U + R m 9 y b X V s Y T w v S X R l b V R 5 c G U + P E l 0 Z W 1 Q Y X R o P l N l Y 3 R p b 2 4 x L 0 t E T C 9 W b 2 9 y d 2 F h c m R l b G l q a 2 U l M j B r b 2 x v b S U y M G l u Z 2 V 2 b 2 V n Z D I 8 L 0 l 0 Z W 1 Q Y X R o P j w v S X R l b U x v Y 2 F 0 a W 9 u P j x T d G F i b G V F b n R y a W V z I C 8 + P C 9 J d G V t P j x J d G V t P j x J d G V t T G 9 j Y X R p b 2 4 + P E l 0 Z W 1 U e X B l P k Z v c m 1 1 b G E 8 L 0 l 0 Z W 1 U e X B l P j x J d G V t U G F 0 a D 5 T Z W N 0 a W 9 u M S 9 L R E w v Q W F u Z 2 V w Y X N 0 J T I w a X R l b S U y M H R v Z W d l d m 9 l Z 2 Q z P C 9 J d G V t U G F 0 a D 4 8 L 0 l 0 Z W 1 M b 2 N h d G l v b j 4 8 U 3 R h Y m x l R W 5 0 c m l l c y A v P j w v S X R l b T 4 8 S X R l b T 4 8 S X R l b U x v Y 2 F 0 a W 9 u P j x J d G V t V H l w Z T 5 G b 3 J t d W x h P C 9 J d G V t V H l w Z T 4 8 S X R l b V B h d G g + U 2 V j d G l v b j E v S 0 R M L 1 Z v b 3 J 3 Y W F y Z G V s a W p r Z S U y M G t v b G 9 t J T I w a W 5 n Z X Z v Z W d k M z w v S X R l b V B h d G g + P C 9 J d G V t T G 9 j Y X R p b 2 4 + P F N 0 Y W J s Z U V u d H J p Z X M g L z 4 8 L 0 l 0 Z W 0 + P E l 0 Z W 0 + P E l 0 Z W 1 M b 2 N h d G l v b j 4 8 S X R l b V R 5 c G U + R m 9 y b X V s Y T w v S X R l b V R 5 c G U + P E l 0 Z W 1 Q Y X R o P l N l Y 3 R p b 2 4 x L 0 t E T C 9 B Y W 5 n Z X B h c 3 Q l M j B p d G V t J T I w d G 9 l Z 2 V 2 b 2 V n Z D Q 8 L 0 l 0 Z W 1 Q Y X R o P j w v S X R l b U x v Y 2 F 0 a W 9 u P j x T d G F i b G V F b n R y a W V z I C 8 + P C 9 J d G V t P j x J d G V t P j x J d G V t T G 9 j Y X R p b 2 4 + P E l 0 Z W 1 U e X B l P k Z v c m 1 1 b G E 8 L 0 l 0 Z W 1 U e X B l P j x J d G V t U G F 0 a D 5 T Z W N 0 a W 9 u M S 9 L R E w v V m 9 v c n d h Y X J k Z W x p a m t l J T I w a 2 9 s b 2 0 l M j B p b m d l d m 9 l Z 2 Q 0 P C 9 J d G V t U G F 0 a D 4 8 L 0 l 0 Z W 1 M b 2 N h d G l v b j 4 8 U 3 R h Y m x l R W 5 0 c m l l c y A v P j w v S X R l b T 4 8 S X R l b T 4 8 S X R l b U x v Y 2 F 0 a W 9 u P j x J d G V t V H l w Z T 5 G b 3 J t d W x h P C 9 J d G V t V H l w Z T 4 8 S X R l b V B h d G g + U 2 V j d G l v b j E v S 0 R M L 0 F h b m d l c G F z d C U y M G l 0 Z W 0 l M j B 0 b 2 V n Z X Z v Z W d k N T w v S X R l b V B h d G g + P C 9 J d G V t T G 9 j Y X R p b 2 4 + P F N 0 Y W J s Z U V u d H J p Z X M g L z 4 8 L 0 l 0 Z W 0 + P E l 0 Z W 0 + P E l 0 Z W 1 M b 2 N h d G l v b j 4 8 S X R l b V R 5 c G U + R m 9 y b X V s Y T w v S X R l b V R 5 c G U + P E l 0 Z W 1 Q Y X R o P l N l Y 3 R p b 2 4 x L 0 t E T C 9 W b 2 9 y d 2 F h c m R l b G l q a 2 U l M j B r b 2 x v b S U y M G l u Z 2 V 2 b 2 V n Z D U 8 L 0 l 0 Z W 1 Q Y X R o P j w v S X R l b U x v Y 2 F 0 a W 9 u P j x T d G F i b G V F b n R y a W V z I C 8 + P C 9 J d G V t P j x J d G V t P j x J d G V t T G 9 j Y X R p b 2 4 + P E l 0 Z W 1 U e X B l P k Z v c m 1 1 b G E 8 L 0 l 0 Z W 1 U e X B l P j x J d G V t U G F 0 a D 5 T Z W N 0 a W 9 u M S 9 L R E w v Q W F u Z 2 V w Y X N 0 J T I w a X R l b S U y M H R v Z W d l d m 9 l Z 2 Q 2 P C 9 J d G V t U G F 0 a D 4 8 L 0 l 0 Z W 1 M b 2 N h d G l v b j 4 8 U 3 R h Y m x l R W 5 0 c m l l c y A v P j w v S X R l b T 4 8 S X R l b T 4 8 S X R l b U x v Y 2 F 0 a W 9 u P j x J d G V t V H l w Z T 5 G b 3 J t d W x h P C 9 J d G V t V H l w Z T 4 8 S X R l b V B h d G g + U 2 V j d G l v b j E v S 0 R M L 1 Z v b 3 J 3 Y W F y Z G V s a W p r Z S U y M G t v b G 9 t J T I w a W 5 n Z X Z v Z W d k N j w v S X R l b V B h d G g + P C 9 J d G V t T G 9 j Y X R p b 2 4 + P F N 0 Y W J s Z U V u d H J p Z X M g L z 4 8 L 0 l 0 Z W 0 + P E l 0 Z W 0 + P E l 0 Z W 1 M b 2 N h d G l v b j 4 8 S X R l b V R 5 c G U + R m 9 y b X V s Y T w v S X R l b V R 5 c G U + P E l 0 Z W 1 Q Y X R o P l N l Y 3 R p b 2 4 x L 0 t E T C 9 B Y W 5 n Z X B h c 3 Q l M j B p d G V t J T I w d G 9 l Z 2 V 2 b 2 V n Z D c 8 L 0 l 0 Z W 1 Q Y X R o P j w v S X R l b U x v Y 2 F 0 a W 9 u P j x T d G F i b G V F b n R y a W V z I C 8 + P C 9 J d G V t P j x J d G V t P j x J d G V t T G 9 j Y X R p b 2 4 + P E l 0 Z W 1 U e X B l P k Z v c m 1 1 b G E 8 L 0 l 0 Z W 1 U e X B l P j x J d G V t U G F 0 a D 5 T Z W N 0 a W 9 u M S 9 L R E w v V m 9 v c n d h Y X J k Z W x p a m t l J T I w a 2 9 s b 2 0 l M j B p b m d l d m 9 l Z 2 Q 3 P C 9 J d G V t U G F 0 a D 4 8 L 0 l 0 Z W 1 M b 2 N h d G l v b j 4 8 U 3 R h Y m x l R W 5 0 c m l l c y A v P j w v S X R l b T 4 8 S X R l b T 4 8 S X R l b U x v Y 2 F 0 a W 9 u P j x J d G V t V H l w Z T 5 G b 3 J t d W x h P C 9 J d G V t V H l w Z T 4 8 S X R l b V B h d G g + U 2 V j d G l v b j E v S 0 R M L 0 F h b m d l c G F z d C U y M G l 0 Z W 0 l M j B 0 b 2 V n Z X Z v Z W d k O D w v S X R l b V B h d G g + P C 9 J d G V t T G 9 j Y X R p b 2 4 + P F N 0 Y W J s Z U V u d H J p Z X M g L z 4 8 L 0 l 0 Z W 0 + P E l 0 Z W 0 + P E l 0 Z W 1 M b 2 N h d G l v b j 4 8 S X R l b V R 5 c G U + R m 9 y b X V s Y T w v S X R l b V R 5 c G U + P E l 0 Z W 1 Q Y X R o P l N l Y 3 R p b 2 4 x L 0 t E T C 9 W b 2 9 y d 2 F h c m R l b G l q a 2 U l M j B r b 2 x v b S U y M G l u Z 2 V 2 b 2 V n Z D g 8 L 0 l 0 Z W 1 Q Y X R o P j w v S X R l b U x v Y 2 F 0 a W 9 u P j x T d G F i b G V F b n R y a W V z I C 8 + P C 9 J d G V t P j x J d G V t P j x J d G V t T G 9 j Y X R p b 2 4 + P E l 0 Z W 1 U e X B l P k Z v c m 1 1 b G E 8 L 0 l 0 Z W 1 U e X B l P j x J d G V t U G F 0 a D 5 T Z W N 0 a W 9 u M S 9 L R E w v Q W F u Z 2 V w Y X N 0 J T I w a X R l b S U y M H R v Z W d l d m 9 l Z 2 Q 5 P C 9 J d G V t U G F 0 a D 4 8 L 0 l 0 Z W 1 M b 2 N h d G l v b j 4 8 U 3 R h Y m x l R W 5 0 c m l l c y A v P j w v S X R l b T 4 8 S X R l b T 4 8 S X R l b U x v Y 2 F 0 a W 9 u P j x J d G V t V H l w Z T 5 G b 3 J t d W x h P C 9 J d G V t V H l w Z T 4 8 S X R l b V B h d G g + U 2 V j d G l v b j E v S 0 R M L 1 Z v b 3 J 3 Y W F y Z G V s a W p r Z S U y M G t v b G 9 t J T I w a W 5 n Z X Z v Z W d k O T w v S X R l b V B h d G g + P C 9 J d G V t T G 9 j Y X R p b 2 4 + P F N 0 Y W J s Z U V u d H J p Z X M g L z 4 8 L 0 l 0 Z W 0 + P E l 0 Z W 0 + P E l 0 Z W 1 M b 2 N h d G l v b j 4 8 S X R l b V R 5 c G U + R m 9 y b X V s Y T w v S X R l b V R 5 c G U + P E l 0 Z W 1 Q Y X R o P l N l Y 3 R p b 2 4 x L 0 t E T C 9 B Y W 5 n Z X B h c 3 Q l M j B p d G V t J T I w d G 9 l Z 2 V 2 b 2 V n Z D E w P C 9 J d G V t U G F 0 a D 4 8 L 0 l 0 Z W 1 M b 2 N h d G l v b j 4 8 U 3 R h Y m x l R W 5 0 c m l l c y A v P j w v S X R l b T 4 8 S X R l b T 4 8 S X R l b U x v Y 2 F 0 a W 9 u P j x J d G V t V H l w Z T 5 G b 3 J t d W x h P C 9 J d G V t V H l w Z T 4 8 S X R l b V B h d G g + U 2 V j d G l v b j E v S 0 R M L 1 Z v b 3 J 3 Y W F y Z G V s a W p r Z S U y M G t v b G 9 t J T I w a W 5 n Z X Z v Z W d k M T A 8 L 0 l 0 Z W 1 Q Y X R o P j w v S X R l b U x v Y 2 F 0 a W 9 u P j x T d G F i b G V F b n R y a W V z I C 8 + P C 9 J d G V t P j x J d G V t P j x J d G V t T G 9 j Y X R p b 2 4 + P E l 0 Z W 1 U e X B l P k Z v c m 1 1 b G E 8 L 0 l 0 Z W 1 U e X B l P j x J d G V t U G F 0 a D 5 T Z W N 0 a W 9 u M S 9 L R E w v Q W F u Z 2 V w Y X N 0 J T I w a X R l b S U y M H R v Z W d l d m 9 l Z 2 Q x M T w v S X R l b V B h d G g + P C 9 J d G V t T G 9 j Y X R p b 2 4 + P F N 0 Y W J s Z U V u d H J p Z X M g L z 4 8 L 0 l 0 Z W 0 + P E l 0 Z W 0 + P E l 0 Z W 1 M b 2 N h d G l v b j 4 8 S X R l b V R 5 c G U + R m 9 y b X V s Y T w v S X R l b V R 5 c G U + P E l 0 Z W 1 Q Y X R o P l N l Y 3 R p b 2 4 x L 0 t E T C 9 W b 2 9 y d 2 F h c m R l b G l q a 2 U l M j B r b 2 x v b S U y M G l u Z 2 V 2 b 2 V n Z D E x P C 9 J d G V t U G F 0 a D 4 8 L 0 l 0 Z W 1 M b 2 N h d G l v b j 4 8 U 3 R h Y m x l R W 5 0 c m l l c y A v P j w v S X R l b T 4 8 S X R l b T 4 8 S X R l b U x v Y 2 F 0 a W 9 u P j x J d G V t V H l w Z T 5 G b 3 J t d W x h P C 9 J d G V t V H l w Z T 4 8 S X R l b V B h d G g + U 2 V j d G l v b j E v S 0 R M L 0 F h b m d l c G F z d C U y M G l 0 Z W 0 l M j B 0 b 2 V n Z X Z v Z W d k M T I 8 L 0 l 0 Z W 1 Q Y X R o P j w v S X R l b U x v Y 2 F 0 a W 9 u P j x T d G F i b G V F b n R y a W V z I C 8 + P C 9 J d G V t P j x J d G V t P j x J d G V t T G 9 j Y X R p b 2 4 + P E l 0 Z W 1 U e X B l P k Z v c m 1 1 b G E 8 L 0 l 0 Z W 1 U e X B l P j x J d G V t U G F 0 a D 5 T Z W N 0 a W 9 u M S 9 L R E w v V m 9 v c n d h Y X J k Z W x p a m t l J T I w a 2 9 s b 2 0 l M j B p b m d l d m 9 l Z 2 Q x M j w v S X R l b V B h d G g + P C 9 J d G V t T G 9 j Y X R p b 2 4 + P F N 0 Y W J s Z U V u d H J p Z X M g L z 4 8 L 0 l 0 Z W 0 + P E l 0 Z W 0 + P E l 0 Z W 1 M b 2 N h d G l v b j 4 8 S X R l b V R 5 c G U + R m 9 y b X V s Y T w v S X R l b V R 5 c G U + P E l 0 Z W 1 Q Y X R o P l N l Y 3 R p b 2 4 x L 0 t E T C 9 B Y W 5 n Z X B h c 3 Q l M j B p d G V t J T I w d G 9 l Z 2 V 2 b 2 V n Z D E z P C 9 J d G V t U G F 0 a D 4 8 L 0 l 0 Z W 1 M b 2 N h d G l v b j 4 8 U 3 R h Y m x l R W 5 0 c m l l c y A v P j w v S X R l b T 4 8 S X R l b T 4 8 S X R l b U x v Y 2 F 0 a W 9 u P j x J d G V t V H l w Z T 5 G b 3 J t d W x h P C 9 J d G V t V H l w Z T 4 8 S X R l b V B h d G g + U 2 V j d G l v b j E v S 0 R M L 1 Z v b 3 J 3 Y W F y Z G V s a W p r Z S U y M G t v b G 9 t J T I w a W 5 n Z X Z v Z W d k M T M 8 L 0 l 0 Z W 1 Q Y X R o P j w v S X R l b U x v Y 2 F 0 a W 9 u P j x T d G F i b G V F b n R y a W V z I C 8 + P C 9 J d G V t P j x J d G V t P j x J d G V t T G 9 j Y X R p b 2 4 + P E l 0 Z W 1 U e X B l P k Z v c m 1 1 b G E 8 L 0 l 0 Z W 1 U e X B l P j x J d G V t U G F 0 a D 5 T Z W N 0 a W 9 u M S 9 L R E w v Q W F u Z 2 V w Y X N 0 J T I w a X R l b S U y M H R v Z W d l d m 9 l Z 2 Q x N D w v S X R l b V B h d G g + P C 9 J d G V t T G 9 j Y X R p b 2 4 + P F N 0 Y W J s Z U V u d H J p Z X M g L z 4 8 L 0 l 0 Z W 0 + P E l 0 Z W 0 + P E l 0 Z W 1 M b 2 N h d G l v b j 4 8 S X R l b V R 5 c G U + R m 9 y b X V s Y T w v S X R l b V R 5 c G U + P E l 0 Z W 1 Q Y X R o P l N l Y 3 R p b 2 4 x L 0 t E T C 9 W b 2 9 y d 2 F h c m R l b G l q a 2 U l M j B r b 2 x v b S U y M G l u Z 2 V 2 b 2 V n Z D E 0 P C 9 J d G V t U G F 0 a D 4 8 L 0 l 0 Z W 1 M b 2 N h d G l v b j 4 8 U 3 R h Y m x l R W 5 0 c m l l c y A v P j w v S X R l b T 4 8 S X R l b T 4 8 S X R l b U x v Y 2 F 0 a W 9 u P j x J d G V t V H l w Z T 5 G b 3 J t d W x h P C 9 J d G V t V H l w Z T 4 8 S X R l b V B h d G g + U 2 V j d G l v b j E v S 0 R M L 0 F h b m d l c G F z d C U y M G l 0 Z W 0 l M j B 0 b 2 V n Z X Z v Z W d k M T U 8 L 0 l 0 Z W 1 Q Y X R o P j w v S X R l b U x v Y 2 F 0 a W 9 u P j x T d G F i b G V F b n R y a W V z I C 8 + P C 9 J d G V t P j x J d G V t P j x J d G V t T G 9 j Y X R p b 2 4 + P E l 0 Z W 1 U e X B l P k Z v c m 1 1 b G E 8 L 0 l 0 Z W 1 U e X B l P j x J d G V t U G F 0 a D 5 T Z W N 0 a W 9 u M S 9 L R E w v V m 9 v c n d h Y X J k Z W x p a m t l J T I w a 2 9 s b 2 0 l M j B p b m d l d m 9 l Z 2 Q x N T w v S X R l b V B h d G g + P C 9 J d G V t T G 9 j Y X R p b 2 4 + P F N 0 Y W J s Z U V u d H J p Z X M g L z 4 8 L 0 l 0 Z W 0 + P E l 0 Z W 0 + P E l 0 Z W 1 M b 2 N h d G l v b j 4 8 S X R l b V R 5 c G U + R m 9 y b X V s Y T w v S X R l b V R 5 c G U + P E l 0 Z W 1 Q Y X R o P l N l Y 3 R p b 2 4 x L 0 t E T C 9 B Y W 5 n Z X B h c 3 Q l M j B p d G V t J T I w d G 9 l Z 2 V 2 b 2 V n Z D E 2 P C 9 J d G V t U G F 0 a D 4 8 L 0 l 0 Z W 1 M b 2 N h d G l v b j 4 8 U 3 R h Y m x l R W 5 0 c m l l c y A v P j w v S X R l b T 4 8 S X R l b T 4 8 S X R l b U x v Y 2 F 0 a W 9 u P j x J d G V t V H l w Z T 5 G b 3 J t d W x h P C 9 J d G V t V H l w Z T 4 8 S X R l b V B h d G g + U 2 V j d G l v b j E v S 0 R M L 1 Z v b 3 J 3 Y W F y Z G V s a W p r Z S U y M G t v b G 9 t J T I w a W 5 n Z X Z v Z W d k M T Y 8 L 0 l 0 Z W 1 Q Y X R o P j w v S X R l b U x v Y 2 F 0 a W 9 u P j x T d G F i b G V F b n R y a W V z I C 8 + P C 9 J d G V t P j x J d G V t P j x J d G V t T G 9 j Y X R p b 2 4 + P E l 0 Z W 1 U e X B l P k Z v c m 1 1 b G E 8 L 0 l 0 Z W 1 U e X B l P j x J d G V t U G F 0 a D 5 T Z W N 0 a W 9 u M S 9 L R E w v Q W F u Z 2 V w Y X N 0 J T I w a X R l b S U y M H R v Z W d l d m 9 l Z 2 Q x N z w v S X R l b V B h d G g + P C 9 J d G V t T G 9 j Y X R p b 2 4 + P F N 0 Y W J s Z U V u d H J p Z X M g L z 4 8 L 0 l 0 Z W 0 + P E l 0 Z W 0 + P E l 0 Z W 1 M b 2 N h d G l v b j 4 8 S X R l b V R 5 c G U + R m 9 y b X V s Y T w v S X R l b V R 5 c G U + P E l 0 Z W 1 Q Y X R o P l N l Y 3 R p b 2 4 x L 0 t E T C 9 W b 2 9 y d 2 F h c m R l b G l q a 2 U l M j B r b 2 x v b S U y M G l u Z 2 V 2 b 2 V n Z D E 3 P C 9 J d G V t U G F 0 a D 4 8 L 0 l 0 Z W 1 M b 2 N h d G l v b j 4 8 U 3 R h Y m x l R W 5 0 c m l l c y A v P j w v S X R l b T 4 8 S X R l b T 4 8 S X R l b U x v Y 2 F 0 a W 9 u P j x J d G V t V H l w Z T 5 G b 3 J t d W x h P C 9 J d G V t V H l w Z T 4 8 S X R l b V B h d G g + U 2 V j d G l v b j E v S 0 R M L 0 F h b m d l c G F z d C U y M G l 0 Z W 0 l M j B 0 b 2 V n Z X Z v Z W d k M T g 8 L 0 l 0 Z W 1 Q Y X R o P j w v S X R l b U x v Y 2 F 0 a W 9 u P j x T d G F i b G V F b n R y a W V z I C 8 + P C 9 J d G V t P j x J d G V t P j x J d G V t T G 9 j Y X R p b 2 4 + P E l 0 Z W 1 U e X B l P k Z v c m 1 1 b G E 8 L 0 l 0 Z W 1 U e X B l P j x J d G V t U G F 0 a D 5 T Z W N 0 a W 9 u M S 9 L R E w v V m 9 v c n d h Y X J k Z W x p a m t l J T I w a 2 9 s b 2 0 l M j B p b m d l d m 9 l Z 2 Q x O D w v S X R l b V B h d G g + P C 9 J d G V t T G 9 j Y X R p b 2 4 + P F N 0 Y W J s Z U V u d H J p Z X M g L z 4 8 L 0 l 0 Z W 0 + P E l 0 Z W 0 + P E l 0 Z W 1 M b 2 N h d G l v b j 4 8 S X R l b V R 5 c G U + R m 9 y b X V s Y T w v S X R l b V R 5 c G U + P E l 0 Z W 1 Q Y X R o P l N l Y 3 R p b 2 4 x L 0 t E T C 9 B Y W 5 n Z X B h c 3 Q l M j B p d G V t J T I w d G 9 l Z 2 V 2 b 2 V n Z D E 5 P C 9 J d G V t U G F 0 a D 4 8 L 0 l 0 Z W 1 M b 2 N h d G l v b j 4 8 U 3 R h Y m x l R W 5 0 c m l l c y A v P j w v S X R l b T 4 8 S X R l b T 4 8 S X R l b U x v Y 2 F 0 a W 9 u P j x J d G V t V H l w Z T 5 G b 3 J t d W x h P C 9 J d G V t V H l w Z T 4 8 S X R l b V B h d G g + U 2 V j d G l v b j E v S 0 R M L 1 Z v b 3 J 3 Y W F y Z G V s a W p r Z S U y M G t v b G 9 t J T I w a W 5 n Z X Z v Z W d k M T k 8 L 0 l 0 Z W 1 Q Y X R o P j w v S X R l b U x v Y 2 F 0 a W 9 u P j x T d G F i b G V F b n R y a W V z I C 8 + P C 9 J d G V t P j x J d G V t P j x J d G V t T G 9 j Y X R p b 2 4 + P E l 0 Z W 1 U e X B l P k Z v c m 1 1 b G E 8 L 0 l 0 Z W 1 U e X B l P j x J d G V t U G F 0 a D 5 T Z W N 0 a W 9 u M S 9 L R E w v Q W F u Z 2 V w Y X N 0 J T I w a X R l b S U y M H R v Z W d l d m 9 l Z 2 Q y M D w v S X R l b V B h d G g + P C 9 J d G V t T G 9 j Y X R p b 2 4 + P F N 0 Y W J s Z U V u d H J p Z X M g L z 4 8 L 0 l 0 Z W 0 + P E l 0 Z W 0 + P E l 0 Z W 1 M b 2 N h d G l v b j 4 8 S X R l b V R 5 c G U + R m 9 y b X V s Y T w v S X R l b V R 5 c G U + P E l 0 Z W 1 Q Y X R o P l N l Y 3 R p b 2 4 x L 0 t E T C 9 B Y W 5 n Z X B h c 3 Q l M j B p d G V t J T I w d G 9 l Z 2 V 2 b 2 V n Z D I x P C 9 J d G V t U G F 0 a D 4 8 L 0 l 0 Z W 1 M b 2 N h d G l v b j 4 8 U 3 R h Y m x l R W 5 0 c m l l c y A v P j w v S X R l b T 4 8 S X R l b T 4 8 S X R l b U x v Y 2 F 0 a W 9 u P j x J d G V t V H l w Z T 5 G b 3 J t d W x h P C 9 J d G V t V H l w Z T 4 8 S X R l b V B h d G g + U 2 V j d G l v b j E v S 0 R M L 0 F h b m d l c G F z d C U y M G l 0 Z W 0 l M j B 0 b 2 V n Z X Z v Z W d k M j I 8 L 0 l 0 Z W 1 Q Y X R o P j w v S X R l b U x v Y 2 F 0 a W 9 u P j x T d G F i b G V F b n R y a W V z I C 8 + P C 9 J d G V t P j x J d G V t P j x J d G V t T G 9 j Y X R p b 2 4 + P E l 0 Z W 1 U e X B l P k Z v c m 1 1 b G E 8 L 0 l 0 Z W 1 U e X B l P j x J d G V t U G F 0 a D 5 T Z W N 0 a W 9 u M S 9 L R E w v T m F t Z W 4 l M j B 2 Y W 4 l M j B r b 2 x v b W 1 l b i U y M G d l d 2 l q e m l n Z C U y M D E 8 L 0 l 0 Z W 1 Q Y X R o P j w v S X R l b U x v Y 2 F 0 a W 9 u P j x T d G F i b G V F b n R y a W V z I C 8 + P C 9 J d G V t P j x J d G V t P j x J d G V t T G 9 j Y X R p b 2 4 + P E l 0 Z W 1 U e X B l P k Z v c m 1 1 b G E 8 L 0 l 0 Z W 1 U e X B l P j x J d G V t U G F 0 a D 5 T Z W N 0 a W 9 u M S 9 L R E w v T m F t Z W 4 l M j B 2 Y W 4 l M j B r b 2 x v b W 1 l b i U y M G d l d 2 l q e m l n Z C U y M D I 8 L 0 l 0 Z W 1 Q Y X R o P j w v S X R l b U x v Y 2 F 0 a W 9 u P j x T d G F i b G V F b n R y a W V z I C 8 + P C 9 J d G V t P j x J d G V t P j x J d G V t T G 9 j Y X R p b 2 4 + P E l 0 Z W 1 U e X B l P k Z v c m 1 1 b G E 8 L 0 l 0 Z W 1 U e X B l P j x J d G V t U G F 0 a D 5 T Z W N 0 a W 9 u M S 9 L R E w v S 2 9 s b 2 1 t Z W 4 l M j B 2 Z X J 3 a W p k Z X J k P C 9 J d G V t U G F 0 a D 4 8 L 0 l 0 Z W 1 M b 2 N h d G l v b j 4 8 U 3 R h Y m x l R W 5 0 c m l l c y A v P j w v S X R l b T 4 8 S X R l b T 4 8 S X R l b U x v Y 2 F 0 a W 9 u P j x J d G V t V H l w Z T 5 G b 3 J t d W x h P C 9 J d G V t V H l w Z T 4 8 S X R l b V B h d G g + U 2 V j d G l v b j E v S 0 R M L 0 t v b G 9 t b W V u J T I w d m V y d 2 l q Z G V y Z C U y M D E 8 L 0 l 0 Z W 1 Q Y X R o P j w v S X R l b U x v Y 2 F 0 a W 9 u P j x T d G F i b G V F b n R y a W V z I C 8 + P C 9 J d G V t P j x J d G V t P j x J d G V t T G 9 j Y X R p b 2 4 + P E l 0 Z W 1 U e X B l P k Z v c m 1 1 b G E 8 L 0 l 0 Z W 1 U e X B l P j x J d G V t U G F 0 a D 5 T Z W N 0 a W 9 u M S 9 L R E w v Q W F u Z 2 V w Y X N 0 J T I w a X R l b S U y M H R v Z W d l d m 9 l Z 2 Q y O D w v S X R l b V B h d G g + P C 9 J d G V t T G 9 j Y X R p b 2 4 + P F N 0 Y W J s Z U V u d H J p Z X M g L z 4 8 L 0 l 0 Z W 0 + P E l 0 Z W 0 + P E l 0 Z W 1 M b 2 N h d G l v b j 4 8 S X R l b V R 5 c G U + R m 9 y b X V s Y T w v S X R l b V R 5 c G U + P E l 0 Z W 1 Q Y X R o P l N l Y 3 R p b 2 4 x L 0 t E T C 9 B Y W 5 n Z X B h c 3 Q l M j B p d G V t J T I w d G 9 l Z 2 V 2 b 2 V n Z D I 5 P C 9 J d G V t U G F 0 a D 4 8 L 0 l 0 Z W 1 M b 2 N h d G l v b j 4 8 U 3 R h Y m x l R W 5 0 c m l l c y A v P j w v S X R l b T 4 8 S X R l b T 4 8 S X R l b U x v Y 2 F 0 a W 9 u P j x J d G V t V H l w Z T 5 G b 3 J t d W x h P C 9 J d G V t V H l w Z T 4 8 S X R l b V B h d G g + U 2 V j d G l v b j E v S 0 R M L 0 F h b m d l c G F z d C U y M G l 0 Z W 0 l M j B 0 b 2 V n Z X Z v Z W d k M z A 8 L 0 l 0 Z W 1 Q Y X R o P j w v S X R l b U x v Y 2 F 0 a W 9 u P j x T d G F i b G V F b n R y a W V z I C 8 + P C 9 J d G V t P j x J d G V t P j x J d G V t T G 9 j Y X R p b 2 4 + P E l 0 Z W 1 U e X B l P k Z v c m 1 1 b G E 8 L 0 l 0 Z W 1 U e X B l P j x J d G V t U G F 0 a D 5 T Z W N 0 a W 9 u M S 9 L R E w v Q W F u Z 2 V w Y X N 0 J T I w a X R l b S U y M H R v Z W d l d m 9 l Z 2 Q z M T w v S X R l b V B h d G g + P C 9 J d G V t T G 9 j Y X R p b 2 4 + P F N 0 Y W J s Z U V u d H J p Z X M g L z 4 8 L 0 l 0 Z W 0 + P E l 0 Z W 0 + P E l 0 Z W 1 M b 2 N h d G l v b j 4 8 S X R l b V R 5 c G U + R m 9 y b X V s Y T w v S X R l b V R 5 c G U + P E l 0 Z W 1 Q Y X R o P l N l Y 3 R p b 2 4 x L 0 t E T C 9 B Y W 5 n Z X B h c 3 Q l M j B p d G V t J T I w d G 9 l Z 2 V 2 b 2 V n Z D M y P C 9 J d G V t U G F 0 a D 4 8 L 0 l 0 Z W 1 M b 2 N h d G l v b j 4 8 U 3 R h Y m x l R W 5 0 c m l l c y A v P j w v S X R l b T 4 8 S X R l b T 4 8 S X R l b U x v Y 2 F 0 a W 9 u P j x J d G V t V H l w Z T 5 G b 3 J t d W x h P C 9 J d G V t V H l w Z T 4 8 S X R l b V B h d G g + U 2 V j d G l v b j E v S 0 R M L 0 F h b m d l c G F z d C U y M G l 0 Z W 0 l M j B 0 b 2 V n Z X Z v Z W d k M z M 8 L 0 l 0 Z W 1 Q Y X R o P j w v S X R l b U x v Y 2 F 0 a W 9 u P j x T d G F i b G V F b n R y a W V z I C 8 + P C 9 J d G V t P j x J d G V t P j x J d G V t T G 9 j Y X R p b 2 4 + P E l 0 Z W 1 U e X B l P k Z v c m 1 1 b G E 8 L 0 l 0 Z W 1 U e X B l P j x J d G V t U G F 0 a D 5 T Z W N 0 a W 9 u M S 9 L R E w v Q W F u Z 2 V w Y X N 0 J T I w a X R l b S U y M H R v Z W d l d m 9 l Z 2 Q z N D w v S X R l b V B h d G g + P C 9 J d G V t T G 9 j Y X R p b 2 4 + P F N 0 Y W J s Z U V u d H J p Z X M g L z 4 8 L 0 l 0 Z W 0 + P E l 0 Z W 0 + P E l 0 Z W 1 M b 2 N h d G l v b j 4 8 S X R l b V R 5 c G U + R m 9 y b X V s Y T w v S X R l b V R 5 c G U + P E l 0 Z W 1 Q Y X R o P l N l Y 3 R p b 2 4 x L 0 t E T C 9 B Y W 5 n Z X B h c 3 Q l M j B p d G V t J T I w d G 9 l Z 2 V 2 b 2 V n Z D M 1 P C 9 J d G V t U G F 0 a D 4 8 L 0 l 0 Z W 1 M b 2 N h d G l v b j 4 8 U 3 R h Y m x l R W 5 0 c m l l c y A v P j w v S X R l b T 4 8 S X R l b T 4 8 S X R l b U x v Y 2 F 0 a W 9 u P j x J d G V t V H l w Z T 5 G b 3 J t d W x h P C 9 J d G V t V H l w Z T 4 8 S X R l b V B h d G g + U 2 V j d G l v b j E v S 0 R M L 0 F h b m d l c G F z d C U y M G l 0 Z W 0 l M j B 0 b 2 V n Z X Z v Z W d k M z Y 8 L 0 l 0 Z W 1 Q Y X R o P j w v S X R l b U x v Y 2 F 0 a W 9 u P j x T d G F i b G V F b n R y a W V z I C 8 + P C 9 J d G V t P j x J d G V t P j x J d G V t T G 9 j Y X R p b 2 4 + P E l 0 Z W 1 U e X B l P k Z v c m 1 1 b G E 8 L 0 l 0 Z W 1 U e X B l P j x J d G V t U G F 0 a D 5 T Z W N 0 a W 9 u M S 9 L R E w v Q W F u Z 2 V w Y X N 0 J T I w a X R l b S U y M H R v Z W d l d m 9 l Z 2 Q z N z w v S X R l b V B h d G g + P C 9 J d G V t T G 9 j Y X R p b 2 4 + P F N 0 Y W J s Z U V u d H J p Z X M g L z 4 8 L 0 l 0 Z W 0 + P E l 0 Z W 0 + P E l 0 Z W 1 M b 2 N h d G l v b j 4 8 S X R l b V R 5 c G U + R m 9 y b X V s Y T w v S X R l b V R 5 c G U + P E l 0 Z W 1 Q Y X R o P l N l Y 3 R p b 2 4 x L 0 t E T C 9 B Y W 5 n Z X B h c 3 Q l M j B p d G V t J T I w d G 9 l Z 2 V 2 b 2 V n Z D M 4 P C 9 J d G V t U G F 0 a D 4 8 L 0 l 0 Z W 1 M b 2 N h d G l v b j 4 8 U 3 R h Y m x l R W 5 0 c m l l c y A v P j w v S X R l b T 4 8 S X R l b T 4 8 S X R l b U x v Y 2 F 0 a W 9 u P j x J d G V t V H l w Z T 5 G b 3 J t d W x h P C 9 J d G V t V H l w Z T 4 8 S X R l b V B h d G g + U 2 V j d G l v b j E v S 0 R M L 0 F h b m d l c G F z d C U y M G l 0 Z W 0 l M j B 0 b 2 V n Z X Z v Z W d k M z k 8 L 0 l 0 Z W 1 Q Y X R o P j w v S X R l b U x v Y 2 F 0 a W 9 u P j x T d G F i b G V F b n R y a W V z I C 8 + P C 9 J d G V t P j x J d G V t P j x J d G V t T G 9 j Y X R p b 2 4 + P E l 0 Z W 1 U e X B l P k Z v c m 1 1 b G E 8 L 0 l 0 Z W 1 U e X B l P j x J d G V t U G F 0 a D 5 T Z W N 0 a W 9 u M S 9 L R E w v Q W F u Z 2 V w Y X N 0 J T I w a X R l b S U y M H R v Z W d l d m 9 l Z 2 Q 0 M D w v S X R l b V B h d G g + P C 9 J d G V t T G 9 j Y X R p b 2 4 + P F N 0 Y W J s Z U V u d H J p Z X M g L z 4 8 L 0 l 0 Z W 0 + P E l 0 Z W 0 + P E l 0 Z W 1 M b 2 N h d G l v b j 4 8 S X R l b V R 5 c G U + R m 9 y b X V s Y T w v S X R l b V R 5 c G U + P E l 0 Z W 1 Q Y X R o P l N l Y 3 R p b 2 4 x L 0 t E T C 9 B Y W 5 n Z X B h c 3 Q l M j B p d G V t J T I w d G 9 l Z 2 V 2 b 2 V n Z D Q x P C 9 J d G V t U G F 0 a D 4 8 L 0 l 0 Z W 1 M b 2 N h d G l v b j 4 8 U 3 R h Y m x l R W 5 0 c m l l c y A v P j w v S X R l b T 4 8 S X R l b T 4 8 S X R l b U x v Y 2 F 0 a W 9 u P j x J d G V t V H l w Z T 5 G b 3 J t d W x h P C 9 J d G V t V H l w Z T 4 8 S X R l b V B h d G g + U 2 V j d G l v b j E v S 0 R M L 0 F h b m d l c G F z d C U y M G l 0 Z W 0 l M j B 0 b 2 V n Z X Z v Z W d k N D I 8 L 0 l 0 Z W 1 Q Y X R o P j w v S X R l b U x v Y 2 F 0 a W 9 u P j x T d G F i b G V F b n R y a W V z I C 8 + P C 9 J d G V t P j x J d G V t P j x J d G V t T G 9 j Y X R p b 2 4 + P E l 0 Z W 1 U e X B l P k Z v c m 1 1 b G E 8 L 0 l 0 Z W 1 U e X B l P j x J d G V t U G F 0 a D 5 T Z W N 0 a W 9 u M S 9 L R E w v Q W F u Z 2 V w Y X N 0 J T I w a X R l b S U y M H R v Z W d l d m 9 l Z 2 Q 0 M z w v S X R l b V B h d G g + P C 9 J d G V t T G 9 j Y X R p b 2 4 + P F N 0 Y W J s Z U V u d H J p Z X M g L z 4 8 L 0 l 0 Z W 0 + P E l 0 Z W 0 + P E l 0 Z W 1 M b 2 N h d G l v b j 4 8 S X R l b V R 5 c G U + R m 9 y b X V s Y T w v S X R l b V R 5 c G U + P E l 0 Z W 1 Q Y X R o P l N l Y 3 R p b 2 4 x L 0 t E T C 9 B Y W 5 n Z X B h c 3 Q l M j B p d G V t J T I w d G 9 l Z 2 V 2 b 2 V n Z D Q 0 P C 9 J d G V t U G F 0 a D 4 8 L 0 l 0 Z W 1 M b 2 N h d G l v b j 4 8 U 3 R h Y m x l R W 5 0 c m l l c y A v P j w v S X R l b T 4 8 S X R l b T 4 8 S X R l b U x v Y 2 F 0 a W 9 u P j x J d G V t V H l w Z T 5 G b 3 J t d W x h P C 9 J d G V t V H l w Z T 4 8 S X R l b V B h d G g + U 2 V j d G l v b j E v S 0 R M L 0 F h b m d l c G F z d C U y M G l 0 Z W 0 l M j B 0 b 2 V n Z X Z v Z W d k N D U 8 L 0 l 0 Z W 1 Q Y X R o P j w v S X R l b U x v Y 2 F 0 a W 9 u P j x T d G F i b G V F b n R y a W V z I C 8 + P C 9 J d G V t P j x J d G V t P j x J d G V t T G 9 j Y X R p b 2 4 + P E l 0 Z W 1 U e X B l P k Z v c m 1 1 b G E 8 L 0 l 0 Z W 1 U e X B l P j x J d G V t U G F 0 a D 5 T Z W N 0 a W 9 u M S 9 L R E w v Q W F u Z 2 V w Y X N 0 J T I w a X R l b S U y M H R v Z W d l d m 9 l Z 2 Q 0 N j w v S X R l b V B h d G g + P C 9 J d G V t T G 9 j Y X R p b 2 4 + P F N 0 Y W J s Z U V u d H J p Z X M g L z 4 8 L 0 l 0 Z W 0 + P E l 0 Z W 0 + P E l 0 Z W 1 M b 2 N h d G l v b j 4 8 S X R l b V R 5 c G U + R m 9 y b X V s Y T w v S X R l b V R 5 c G U + P E l 0 Z W 1 Q Y X R o P l N l Y 3 R p b 2 4 x L 0 t E T C 9 B Y W 5 n Z X B h c 3 Q l M j B p d G V t J T I w d G 9 l Z 2 V 2 b 2 V n Z D Q 3 P C 9 J d G V t U G F 0 a D 4 8 L 0 l 0 Z W 1 M b 2 N h d G l v b j 4 8 U 3 R h Y m x l R W 5 0 c m l l c y A v P j w v S X R l b T 4 8 S X R l b T 4 8 S X R l b U x v Y 2 F 0 a W 9 u P j x J d G V t V H l w Z T 5 G b 3 J t d W x h P C 9 J d G V t V H l w Z T 4 8 S X R l b V B h d G g + U 2 V j d G l v b j E v S 0 R M L 0 F h b m d l c G F z d C U y M G l 0 Z W 0 l M j B 0 b 2 V n Z X Z v Z W d k N D g 8 L 0 l 0 Z W 1 Q Y X R o P j w v S X R l b U x v Y 2 F 0 a W 9 u P j x T d G F i b G V F b n R y a W V z I C 8 + P C 9 J d G V t P j x J d G V t P j x J d G V t T G 9 j Y X R p b 2 4 + P E l 0 Z W 1 U e X B l P k Z v c m 1 1 b G E 8 L 0 l 0 Z W 1 U e X B l P j x J d G V t U G F 0 a D 5 T Z W N 0 a W 9 u M S 9 L R E w v Q W F u Z 2 V w Y X N 0 J T I w a X R l b S U y M H R v Z W d l d m 9 l Z 2 Q 0 O T w v S X R l b V B h d G g + P C 9 J d G V t T G 9 j Y X R p b 2 4 + P F N 0 Y W J s Z U V u d H J p Z X M g L z 4 8 L 0 l 0 Z W 0 + P E l 0 Z W 0 + P E l 0 Z W 1 M b 2 N h d G l v b j 4 8 S X R l b V R 5 c G U + R m 9 y b X V s Y T w v S X R l b V R 5 c G U + P E l 0 Z W 1 Q Y X R o P l N l Y 3 R p b 2 4 x L 0 t E T C 9 B Y W 5 n Z X B h c 3 Q l M j B p d G V t J T I w d G 9 l Z 2 V 2 b 2 V n Z D U w P C 9 J d G V t U G F 0 a D 4 8 L 0 l 0 Z W 1 M b 2 N h d G l v b j 4 8 U 3 R h Y m x l R W 5 0 c m l l c y A v P j w v S X R l b T 4 8 S X R l b T 4 8 S X R l b U x v Y 2 F 0 a W 9 u P j x J d G V t V H l w Z T 5 G b 3 J t d W x h P C 9 J d G V t V H l w Z T 4 8 S X R l b V B h d G g + U 2 V j d G l v b j E v S 0 R M L 0 F h b m d l c G F z d C U y M G l 0 Z W 0 l M j B 0 b 2 V n Z X Z v Z W d k N T E 8 L 0 l 0 Z W 1 Q Y X R o P j w v S X R l b U x v Y 2 F 0 a W 9 u P j x T d G F i b G V F b n R y a W V z I C 8 + P C 9 J d G V t P j x J d G V t P j x J d G V t T G 9 j Y X R p b 2 4 + P E l 0 Z W 1 U e X B l P k Z v c m 1 1 b G E 8 L 0 l 0 Z W 1 U e X B l P j x J d G V t U G F 0 a D 5 T Z W N 0 a W 9 u M S 9 L R E w v Q W F u Z 2 V w Y X N 0 J T I w a X R l b S U y M H R v Z W d l d m 9 l Z 2 Q 1 M j w v S X R l b V B h d G g + P C 9 J d G V t T G 9 j Y X R p b 2 4 + P F N 0 Y W J s Z U V u d H J p Z X M g L z 4 8 L 0 l 0 Z W 0 + P E l 0 Z W 0 + P E l 0 Z W 1 M b 2 N h d G l v b j 4 8 S X R l b V R 5 c G U + R m 9 y b X V s Y T w v S X R l b V R 5 c G U + P E l 0 Z W 1 Q Y X R o P l N l Y 3 R p b 2 4 x L 0 t E T C 9 B Y W 5 n Z X B h c 3 Q l M j B p d G V t J T I w d G 9 l Z 2 V 2 b 2 V n Z D U z P C 9 J d G V t U G F 0 a D 4 8 L 0 l 0 Z W 1 M b 2 N h d G l v b j 4 8 U 3 R h Y m x l R W 5 0 c m l l c y A v P j w v S X R l b T 4 8 S X R l b T 4 8 S X R l b U x v Y 2 F 0 a W 9 u P j x J d G V t V H l w Z T 5 G b 3 J t d W x h P C 9 J d G V t V H l w Z T 4 8 S X R l b V B h d G g + U 2 V j d G l v b j E v S 0 R M L 0 F h b m d l c G F z d C U y M G l 0 Z W 0 l M j B 0 b 2 V n Z X Z v Z W d k N T Q 8 L 0 l 0 Z W 1 Q Y X R o P j w v S X R l b U x v Y 2 F 0 a W 9 u P j x T d G F i b G V F b n R y a W V z I C 8 + P C 9 J d G V t P j x J d G V t P j x J d G V t T G 9 j Y X R p b 2 4 + P E l 0 Z W 1 U e X B l P k Z v c m 1 1 b G E 8 L 0 l 0 Z W 1 U e X B l P j x J d G V t U G F 0 a D 5 T Z W N 0 a W 9 u M S 9 L R E w v Q W F u Z 2 V w Y X N 0 J T I w a X R l b S U y M H R v Z W d l d m 9 l Z 2 Q 1 N T w v S X R l b V B h d G g + P C 9 J d G V t T G 9 j Y X R p b 2 4 + P F N 0 Y W J s Z U V u d H J p Z X M g L z 4 8 L 0 l 0 Z W 0 + P E l 0 Z W 0 + P E l 0 Z W 1 M b 2 N h d G l v b j 4 8 S X R l b V R 5 c G U + R m 9 y b X V s Y T w v S X R l b V R 5 c G U + P E l 0 Z W 1 Q Y X R o P l N l Y 3 R p b 2 4 x L 0 t E T C 9 B Y W 5 n Z X B h c 3 Q l M j B p d G V t J T I w d G 9 l Z 2 V 2 b 2 V n Z D U 2 P C 9 J d G V t U G F 0 a D 4 8 L 0 l 0 Z W 1 M b 2 N h d G l v b j 4 8 U 3 R h Y m x l R W 5 0 c m l l c y A v P j w v S X R l b T 4 8 S X R l b T 4 8 S X R l b U x v Y 2 F 0 a W 9 u P j x J d G V t V H l w Z T 5 G b 3 J t d W x h P C 9 J d G V t V H l w Z T 4 8 S X R l b V B h d G g + U 2 V j d G l v b j E v S 0 R M L 0 F h b m d l c G F z d C U y M G l 0 Z W 0 l M j B 0 b 2 V n Z X Z v Z W d k N T c 8 L 0 l 0 Z W 1 Q Y X R o P j w v S X R l b U x v Y 2 F 0 a W 9 u P j x T d G F i b G V F b n R y a W V z I C 8 + P C 9 J d G V t P j x J d G V t P j x J d G V t T G 9 j Y X R p b 2 4 + P E l 0 Z W 1 U e X B l P k Z v c m 1 1 b G E 8 L 0 l 0 Z W 1 U e X B l P j x J d G V t U G F 0 a D 5 T Z W N 0 a W 9 u M S 9 L R E w v V m 9 v c n d h Y X J k Z W x p a m t l J T I w a 2 9 s b 2 0 l M j B p b m d l d m 9 l Z 2 Q z M D w v S X R l b V B h d G g + P C 9 J d G V t T G 9 j Y X R p b 2 4 + P F N 0 Y W J s Z U V u d H J p Z X M g L z 4 8 L 0 l 0 Z W 0 + P E l 0 Z W 0 + P E l 0 Z W 1 M b 2 N h d G l v b j 4 8 S X R l b V R 5 c G U + R m 9 y b X V s Y T w v S X R l b V R 5 c G U + P E l 0 Z W 1 Q Y X R o P l N l Y 3 R p b 2 4 x L 0 t E T C 9 W b 2 9 y d 2 F h c m R l b G l q a 2 U l M j B r b 2 x v b S U y M G l u Z 2 V 2 b 2 V n Z D M x P C 9 J d G V t U G F 0 a D 4 8 L 0 l 0 Z W 1 M b 2 N h d G l v b j 4 8 U 3 R h Y m x l R W 5 0 c m l l c y A v P j w v S X R l b T 4 8 S X R l b T 4 8 S X R l b U x v Y 2 F 0 a W 9 u P j x J d G V t V H l w Z T 5 G b 3 J t d W x h P C 9 J d G V t V H l w Z T 4 8 S X R l b V B h d G g + U 2 V j d G l v b j E v S 0 R M L 1 Z v b 3 J 3 Y W F y Z G V s a W p r Z S U y M G t v b G 9 t J T I w a W 5 n Z X Z v Z W d k M z I 8 L 0 l 0 Z W 1 Q Y X R o P j w v S X R l b U x v Y 2 F 0 a W 9 u P j x T d G F i b G V F b n R y a W V z I C 8 + P C 9 J d G V t P j x J d G V t P j x J d G V t T G 9 j Y X R p b 2 4 + P E l 0 Z W 1 U e X B l P k Z v c m 1 1 b G E 8 L 0 l 0 Z W 1 U e X B l P j x J d G V t U G F 0 a D 5 T Z W N 0 a W 9 u M S 9 L R E w v V m 9 v c n d h Y X J k Z W x p a m t l J T I w a 2 9 s b 2 0 l M j B p b m d l d m 9 l Z 2 Q z M z w v S X R l b V B h d G g + P C 9 J d G V t T G 9 j Y X R p b 2 4 + P F N 0 Y W J s Z U V u d H J p Z X M g L z 4 8 L 0 l 0 Z W 0 + P E l 0 Z W 0 + P E l 0 Z W 1 M b 2 N h d G l v b j 4 8 S X R l b V R 5 c G U + R m 9 y b X V s Y T w v S X R l b V R 5 c G U + P E l 0 Z W 1 Q Y X R o P l N l Y 3 R p b 2 4 x L 0 t E T C 9 W b 2 9 y d 2 F h c m R l b G l q a 2 U l M j B r b 2 x v b S U y M G l u Z 2 V 2 b 2 V n Z D M 0 P C 9 J d G V t U G F 0 a D 4 8 L 0 l 0 Z W 1 M b 2 N h d G l v b j 4 8 U 3 R h Y m x l R W 5 0 c m l l c y A v P j w v S X R l b T 4 8 S X R l b T 4 8 S X R l b U x v Y 2 F 0 a W 9 u P j x J d G V t V H l w Z T 5 G b 3 J t d W x h P C 9 J d G V t V H l w Z T 4 8 S X R l b V B h d G g + U 2 V j d G l v b j E v S 0 R M L 1 Z v b 3 J 3 Y W F y Z G V s a W p r Z S U y M G t v b G 9 t J T I w a W 5 n Z X Z v Z W d k M z U 8 L 0 l 0 Z W 1 Q Y X R o P j w v S X R l b U x v Y 2 F 0 a W 9 u P j x T d G F i b G V F b n R y a W V z I C 8 + P C 9 J d G V t P j x J d G V t P j x J d G V t T G 9 j Y X R p b 2 4 + P E l 0 Z W 1 U e X B l P k Z v c m 1 1 b G E 8 L 0 l 0 Z W 1 U e X B l P j x J d G V t U G F 0 a D 5 T Z W N 0 a W 9 u M S 9 L R E w v V m 9 v c n d h Y X J k Z W x p a m t l J T I w a 2 9 s b 2 0 l M j B p b m d l d m 9 l Z 2 Q z N j w v S X R l b V B h d G g + P C 9 J d G V t T G 9 j Y X R p b 2 4 + P F N 0 Y W J s Z U V u d H J p Z X M g L z 4 8 L 0 l 0 Z W 0 + P E l 0 Z W 0 + P E l 0 Z W 1 M b 2 N h d G l v b j 4 8 S X R l b V R 5 c G U + R m 9 y b X V s Y T w v S X R l b V R 5 c G U + P E l 0 Z W 1 Q Y X R o P l N l Y 3 R p b 2 4 x L 0 t E T C 9 W b 2 9 y d 2 F h c m R l b G l q a 2 U l M j B r b 2 x v b S U y M G l u Z 2 V 2 b 2 V n Z D M 3 P C 9 J d G V t U G F 0 a D 4 8 L 0 l 0 Z W 1 M b 2 N h d G l v b j 4 8 U 3 R h Y m x l R W 5 0 c m l l c y A v P j w v S X R l b T 4 8 S X R l b T 4 8 S X R l b U x v Y 2 F 0 a W 9 u P j x J d G V t V H l w Z T 5 G b 3 J t d W x h P C 9 J d G V t V H l w Z T 4 8 S X R l b V B h d G g + U 2 V j d G l v b j E v S 0 R M L 1 Z v b 3 J 3 Y W F y Z G V s a W p r Z S U y M G t v b G 9 t J T I w a W 5 n Z X Z v Z W d k M z g 8 L 0 l 0 Z W 1 Q Y X R o P j w v S X R l b U x v Y 2 F 0 a W 9 u P j x T d G F i b G V F b n R y a W V z I C 8 + P C 9 J d G V t P j x J d G V t P j x J d G V t T G 9 j Y X R p b 2 4 + P E l 0 Z W 1 U e X B l P k Z v c m 1 1 b G E 8 L 0 l 0 Z W 1 U e X B l P j x J d G V t U G F 0 a D 5 T Z W N 0 a W 9 u M S 9 L R E w v V m 9 v c n d h Y X J k Z W x p a m t l J T I w a 2 9 s b 2 0 l M j B p b m d l d m 9 l Z 2 Q z O T w v S X R l b V B h d G g + P C 9 J d G V t T G 9 j Y X R p b 2 4 + P F N 0 Y W J s Z U V u d H J p Z X M g L z 4 8 L 0 l 0 Z W 0 + P E l 0 Z W 0 + P E l 0 Z W 1 M b 2 N h d G l v b j 4 8 S X R l b V R 5 c G U + R m 9 y b X V s Y T w v S X R l b V R 5 c G U + P E l 0 Z W 1 Q Y X R o P l N l Y 3 R p b 2 4 x L 0 t E T C 9 W b 2 9 y d 2 F h c m R l b G l q a 2 U l M j B r b 2 x v b S U y M G l u Z 2 V 2 b 2 V n Z D Q w P C 9 J d G V t U G F 0 a D 4 8 L 0 l 0 Z W 1 M b 2 N h d G l v b j 4 8 U 3 R h Y m x l R W 5 0 c m l l c y A v P j w v S X R l b T 4 8 S X R l b T 4 8 S X R l b U x v Y 2 F 0 a W 9 u P j x J d G V t V H l w Z T 5 G b 3 J t d W x h P C 9 J d G V t V H l w Z T 4 8 S X R l b V B h d G g + U 2 V j d G l v b j E v S 0 R M L 1 Z v b 3 J 3 Y W F y Z G V s a W p r Z S U y M G t v b G 9 t J T I w a W 5 n Z X Z v Z W d k N D E 8 L 0 l 0 Z W 1 Q Y X R o P j w v S X R l b U x v Y 2 F 0 a W 9 u P j x T d G F i b G V F b n R y a W V z I C 8 + P C 9 J d G V t P j x J d G V t P j x J d G V t T G 9 j Y X R p b 2 4 + P E l 0 Z W 1 U e X B l P k Z v c m 1 1 b G E 8 L 0 l 0 Z W 1 U e X B l P j x J d G V t U G F 0 a D 5 T Z W N 0 a W 9 u M S 9 L R E w v V m 9 v c n d h Y X J k Z W x p a m t l J T I w a 2 9 s b 2 0 l M j B p b m d l d m 9 l Z 2 Q 0 M j w v S X R l b V B h d G g + P C 9 J d G V t T G 9 j Y X R p b 2 4 + P F N 0 Y W J s Z U V u d H J p Z X M g L z 4 8 L 0 l 0 Z W 0 + P E l 0 Z W 0 + P E l 0 Z W 1 M b 2 N h d G l v b j 4 8 S X R l b V R 5 c G U + R m 9 y b X V s Y T w v S X R l b V R 5 c G U + P E l 0 Z W 1 Q Y X R o P l N l Y 3 R p b 2 4 x L 0 t E T C 9 W b 2 9 y d 2 F h c m R l b G l q a 2 U l M j B r b 2 x v b S U y M G l u Z 2 V 2 b 2 V n Z D Q z P C 9 J d G V t U G F 0 a D 4 8 L 0 l 0 Z W 1 M b 2 N h d G l v b j 4 8 U 3 R h Y m x l R W 5 0 c m l l c y A v P j w v S X R l b T 4 8 S X R l b T 4 8 S X R l b U x v Y 2 F 0 a W 9 u P j x J d G V t V H l w Z T 5 G b 3 J t d W x h P C 9 J d G V t V H l w Z T 4 8 S X R l b V B h d G g + U 2 V j d G l v b j E v S 0 R M L 1 Z v b 3 J 3 Y W F y Z G V s a W p r Z S U y M G t v b G 9 t J T I w a W 5 n Z X Z v Z W d k N D Q 8 L 0 l 0 Z W 1 Q Y X R o P j w v S X R l b U x v Y 2 F 0 a W 9 u P j x T d G F i b G V F b n R y a W V z I C 8 + P C 9 J d G V t P j x J d G V t P j x J d G V t T G 9 j Y X R p b 2 4 + P E l 0 Z W 1 U e X B l P k Z v c m 1 1 b G E 8 L 0 l 0 Z W 1 U e X B l P j x J d G V t U G F 0 a D 5 T Z W N 0 a W 9 u M S 9 L R E w v V m 9 v c n d h Y X J k Z W x p a m t l J T I w a 2 9 s b 2 0 l M j B p b m d l d m 9 l Z 2 Q 0 N T w v S X R l b V B h d G g + P C 9 J d G V t T G 9 j Y X R p b 2 4 + P F N 0 Y W J s Z U V u d H J p Z X M g L z 4 8 L 0 l 0 Z W 0 + P E l 0 Z W 0 + P E l 0 Z W 1 M b 2 N h d G l v b j 4 8 S X R l b V R 5 c G U + R m 9 y b X V s Y T w v S X R l b V R 5 c G U + P E l 0 Z W 1 Q Y X R o P l N l Y 3 R p b 2 4 x L 0 t E T C 9 W b 2 9 y d 2 F h c m R l b G l q a 2 U l M j B r b 2 x v b S U y M G l u Z 2 V 2 b 2 V n Z D Q 2 P C 9 J d G V t U G F 0 a D 4 8 L 0 l 0 Z W 1 M b 2 N h d G l v b j 4 8 U 3 R h Y m x l R W 5 0 c m l l c y A v P j w v S X R l b T 4 8 S X R l b T 4 8 S X R l b U x v Y 2 F 0 a W 9 u P j x J d G V t V H l w Z T 5 G b 3 J t d W x h P C 9 J d G V t V H l w Z T 4 8 S X R l b V B h d G g + U 2 V j d G l v b j E v S 0 R M L 1 Z v b 3 J 3 Y W F y Z G V s a W p r Z S U y M G t v b G 9 t J T I w a W 5 n Z X Z v Z W d k N D c 8 L 0 l 0 Z W 1 Q Y X R o P j w v S X R l b U x v Y 2 F 0 a W 9 u P j x T d G F i b G V F b n R y a W V z I C 8 + P C 9 J d G V t P j x J d G V t P j x J d G V t T G 9 j Y X R p b 2 4 + P E l 0 Z W 1 U e X B l P k Z v c m 1 1 b G E 8 L 0 l 0 Z W 1 U e X B l P j x J d G V t U G F 0 a D 5 T Z W N 0 a W 9 u M S 9 L R E w v V m 9 v c n d h Y X J k Z W x p a m t l J T I w a 2 9 s b 2 0 l M j B p b m d l d m 9 l Z 2 Q 0 O D w v S X R l b V B h d G g + P C 9 J d G V t T G 9 j Y X R p b 2 4 + P F N 0 Y W J s Z U V u d H J p Z X M g L z 4 8 L 0 l 0 Z W 0 + P E l 0 Z W 0 + P E l 0 Z W 1 M b 2 N h d G l v b j 4 8 S X R l b V R 5 c G U + R m 9 y b X V s Y T w v S X R l b V R 5 c G U + P E l 0 Z W 1 Q Y X R o P l N l Y 3 R p b 2 4 x L 0 t E T C 9 W b 2 9 y d 2 F h c m R l b G l q a 2 U l M j B r b 2 x v b S U y M G l u Z 2 V 2 b 2 V n Z D Q 5 P C 9 J d G V t U G F 0 a D 4 8 L 0 l 0 Z W 1 M b 2 N h d G l v b j 4 8 U 3 R h Y m x l R W 5 0 c m l l c y A v P j w v S X R l b T 4 8 S X R l b T 4 8 S X R l b U x v Y 2 F 0 a W 9 u P j x J d G V t V H l w Z T 5 G b 3 J t d W x h P C 9 J d G V t V H l w Z T 4 8 S X R l b V B h d G g + U 2 V j d G l v b j E v S 0 R M L 1 Z v b 3 J 3 Y W F y Z G V s a W p r Z S U y M G t v b G 9 t J T I w a W 5 n Z X Z v Z W d k N T A 8 L 0 l 0 Z W 1 Q Y X R o P j w v S X R l b U x v Y 2 F 0 a W 9 u P j x T d G F i b G V F b n R y a W V z I C 8 + P C 9 J d G V t P j x J d G V t P j x J d G V t T G 9 j Y X R p b 2 4 + P E l 0 Z W 1 U e X B l P k Z v c m 1 1 b G E 8 L 0 l 0 Z W 1 U e X B l P j x J d G V t U G F 0 a D 5 T Z W N 0 a W 9 u M S 9 L R E w v V m 9 v c n d h Y X J k Z W x p a m t l J T I w a 2 9 s b 2 0 l M j B p b m d l d m 9 l Z 2 Q 1 M T w v S X R l b V B h d G g + P C 9 J d G V t T G 9 j Y X R p b 2 4 + P F N 0 Y W J s Z U V u d H J p Z X M g L z 4 8 L 0 l 0 Z W 0 + P E l 0 Z W 0 + P E l 0 Z W 1 M b 2 N h d G l v b j 4 8 S X R l b V R 5 c G U + R m 9 y b X V s Y T w v S X R l b V R 5 c G U + P E l 0 Z W 1 Q Y X R o P l N l Y 3 R p b 2 4 x L 0 t E T C 9 W b 2 9 y d 2 F h c m R l b G l q a 2 U l M j B r b 2 x v b S U y M G l u Z 2 V 2 b 2 V n Z D U y P C 9 J d G V t U G F 0 a D 4 8 L 0 l 0 Z W 1 M b 2 N h d G l v b j 4 8 U 3 R h Y m x l R W 5 0 c m l l c y A v P j w v S X R l b T 4 8 S X R l b T 4 8 S X R l b U x v Y 2 F 0 a W 9 u P j x J d G V t V H l w Z T 5 G b 3 J t d W x h P C 9 J d G V t V H l w Z T 4 8 S X R l b V B h d G g + U 2 V j d G l v b j E v S 0 R M L 1 Z v b 3 J 3 Y W F y Z G V s a W p r Z S U y M G t v b G 9 t J T I w a W 5 n Z X Z v Z W d k N T M 8 L 0 l 0 Z W 1 Q Y X R o P j w v S X R l b U x v Y 2 F 0 a W 9 u P j x T d G F i b G V F b n R y a W V z I C 8 + P C 9 J d G V t P j x J d G V t P j x J d G V t T G 9 j Y X R p b 2 4 + P E l 0 Z W 1 U e X B l P k Z v c m 1 1 b G E 8 L 0 l 0 Z W 1 U e X B l P j x J d G V t U G F 0 a D 5 T Z W N 0 a W 9 u M S 9 L R E w v V m 9 v c n d h Y X J k Z W x p a m t l J T I w a 2 9 s b 2 0 l M j B p b m d l d m 9 l Z 2 Q 1 N D w v S X R l b V B h d G g + P C 9 J d G V t T G 9 j Y X R p b 2 4 + P F N 0 Y W J s Z U V u d H J p Z X M g L z 4 8 L 0 l 0 Z W 0 + P E l 0 Z W 0 + P E l 0 Z W 1 M b 2 N h d G l v b j 4 8 S X R l b V R 5 c G U + R m 9 y b X V s Y T w v S X R l b V R 5 c G U + P E l 0 Z W 1 Q Y X R o P l N l Y 3 R p b 2 4 x L 0 t E T C 9 W b 2 9 y d 2 F h c m R l b G l q a 2 U l M j B r b 2 x v b S U y M G l u Z 2 V 2 b 2 V n Z D U 1 P C 9 J d G V t U G F 0 a D 4 8 L 0 l 0 Z W 1 M b 2 N h d G l v b j 4 8 U 3 R h Y m x l R W 5 0 c m l l c y A v P j w v S X R l b T 4 8 S X R l b T 4 8 S X R l b U x v Y 2 F 0 a W 9 u P j x J d G V t V H l w Z T 5 G b 3 J t d W x h P C 9 J d G V t V H l w Z T 4 8 S X R l b V B h d G g + U 2 V j d G l v b j E v S 0 R M L 1 Z v b 3 J 3 Y W F y Z G V s a W p r Z S U y M G t v b G 9 t J T I w a W 5 n Z X Z v Z W d k N T Y 8 L 0 l 0 Z W 1 Q Y X R o P j w v S X R l b U x v Y 2 F 0 a W 9 u P j x T d G F i b G V F b n R y a W V z I C 8 + P C 9 J d G V t P j x J d G V t P j x J d G V t T G 9 j Y X R p b 2 4 + P E l 0 Z W 1 U e X B l P k Z v c m 1 1 b G E 8 L 0 l 0 Z W 1 U e X B l P j x J d G V t U G F 0 a D 5 T Z W N 0 a W 9 u M S 9 L R E w v V m 9 v c n d h Y X J k Z W x p a m t l J T I w a 2 9 s b 2 0 l M j B p b m d l d m 9 l Z 2 Q 1 N z w v S X R l b V B h d G g + P C 9 J d G V t T G 9 j Y X R p b 2 4 + P F N 0 Y W J s Z U V u d H J p Z X M g L z 4 8 L 0 l 0 Z W 0 + P E l 0 Z W 0 + P E l 0 Z W 1 M b 2 N h d G l v b j 4 8 S X R l b V R 5 c G U + R m 9 y b X V s Y T w v S X R l b V R 5 c G U + P E l 0 Z W 1 Q Y X R o P l N l Y 3 R p b 2 4 x L 0 t E T C 9 W b 2 9 y d 2 F h c m R l b G l q a 2 U l M j B r b 2 x v b S U y M G l u Z 2 V 2 b 2 V n Z D U 4 P C 9 J d G V t U G F 0 a D 4 8 L 0 l 0 Z W 1 M b 2 N h d G l v b j 4 8 U 3 R h Y m x l R W 5 0 c m l l c y A v P j w v S X R l b T 4 8 S X R l b T 4 8 S X R l b U x v Y 2 F 0 a W 9 u P j x J d G V t V H l w Z T 5 G b 3 J t d W x h P C 9 J d G V t V H l w Z T 4 8 S X R l b V B h d G g + U 2 V j d G l v b j E v S 0 R M L 1 Z v b 3 J 3 Y W F y Z G V s a W p r Z S U y M G t v b G 9 t J T I w a W 5 n Z X Z v Z W d k N T k 8 L 0 l 0 Z W 1 Q Y X R o P j w v S X R l b U x v Y 2 F 0 a W 9 u P j x T d G F i b G V F b n R y a W V z I C 8 + P C 9 J d G V t P j x J d G V t P j x J d G V t T G 9 j Y X R p b 2 4 + P E l 0 Z W 1 U e X B l P k Z v c m 1 1 b G E 8 L 0 l 0 Z W 1 U e X B l P j x J d G V t U G F 0 a D 5 T Z W N 0 a W 9 u M S 9 L R E w v Q W F u Z 2 V w Y X N 0 J T I w a X R l b S U y M H R v Z W d l d m 9 l Z 2 Q l M j A x P C 9 J d G V t U G F 0 a D 4 8 L 0 l 0 Z W 1 M b 2 N h d G l v b j 4 8 U 3 R h Y m x l R W 5 0 c m l l c y A v P j w v S X R l b T 4 8 S X R l b T 4 8 S X R l b U x v Y 2 F 0 a W 9 u P j x J d G V t V H l w Z T 5 G b 3 J t d W x h P C 9 J d G V t V H l w Z T 4 8 S X R l b V B h d G g + U 2 V j d G l v b j E v S 0 R M L 0 F h b m d l c G F z d C U y M G l 0 Z W 0 l M j B 0 b 2 V n Z X Z v Z W d k J T I w M j w v S X R l b V B h d G g + P C 9 J d G V t T G 9 j Y X R p b 2 4 + P F N 0 Y W J s Z U V u d H J p Z X M g L z 4 8 L 0 l 0 Z W 0 + P E l 0 Z W 0 + P E l 0 Z W 1 M b 2 N h d G l v b j 4 8 S X R l b V R 5 c G U + R m 9 y b X V s Y T w v S X R l b V R 5 c G U + P E l 0 Z W 1 Q Y X R o P l N l Y 3 R p b 2 4 x L 0 t E T C 9 B Y W 5 n Z X B h c 3 Q l M j B p d G V t J T I w d G 9 l Z 2 V 2 b 2 V n Z C U y M D M 8 L 0 l 0 Z W 1 Q Y X R o P j w v S X R l b U x v Y 2 F 0 a W 9 u P j x T d G F i b G V F b n R y a W V z I C 8 + P C 9 J d G V t P j x J d G V t P j x J d G V t T G 9 j Y X R p b 2 4 + P E l 0 Z W 1 U e X B l P k Z v c m 1 1 b G E 8 L 0 l 0 Z W 1 U e X B l P j x J d G V t U G F 0 a D 5 T Z W N 0 a W 9 u M S 9 L R E w v Q W F u Z 2 V w Y X N 0 J T I w a X R l b S U y M H R v Z W d l d m 9 l Z 2 Q l M j A 0 P C 9 J d G V t U G F 0 a D 4 8 L 0 l 0 Z W 1 M b 2 N h d G l v b j 4 8 U 3 R h Y m x l R W 5 0 c m l l c y A v P j w v S X R l b T 4 8 S X R l b T 4 8 S X R l b U x v Y 2 F 0 a W 9 u P j x J d G V t V H l w Z T 5 G b 3 J t d W x h P C 9 J d G V t V H l w Z T 4 8 S X R l b V B h d G g + U 2 V j d G l v b j E v S 0 R M L 0 t v b G 9 t b W V u J T I w d m V y d 2 l q Z G V y Z C U y M D I 8 L 0 l 0 Z W 1 Q Y X R o P j w v S X R l b U x v Y 2 F 0 a W 9 u P j x T d G F i b G V F b n R y a W V z I C 8 + P C 9 J d G V t P j x J d G V t P j x J d G V t T G 9 j Y X R p b 2 4 + P E l 0 Z W 1 U e X B l P k Z v c m 1 1 b G E 8 L 0 l 0 Z W 1 U e X B l P j x J d G V t U G F 0 a D 5 T Z W N 0 a W 9 u M S 9 L R E w v T m F t Z W 4 l M j B 2 Y W 4 l M j B r b 2 x v b W 1 l b i U y M G d l d 2 l q e m l n Z C U y M D g 8 L 0 l 0 Z W 1 Q Y X R o P j w v S X R l b U x v Y 2 F 0 a W 9 u P j x T d G F i b G V F b n R y a W V z I C 8 + P C 9 J d G V t P j x J d G V t P j x J d G V t T G 9 j Y X R p b 2 4 + P E l 0 Z W 1 U e X B l P k Z v c m 1 1 b G E 8 L 0 l 0 Z W 1 U e X B l P j x J d G V t U G F 0 a D 5 T Z W N 0 a W 9 u M S 9 L R E w v V 2 F h c m R l J T I w a X M l M j B 2 Z X J 2 Y W 5 n Z W 4 8 L 0 l 0 Z W 1 Q Y X R o P j w v S X R l b U x v Y 2 F 0 a W 9 u P j x T d G F i b G V F b n R y a W V z I C 8 + P C 9 J d G V t P j x J d G V t P j x J d G V t T G 9 j Y X R p b 2 4 + P E l 0 Z W 1 U e X B l P k Z v c m 1 1 b G E 8 L 0 l 0 Z W 1 U e X B l P j x J d G V t U G F 0 a D 5 T Z W N 0 a W 9 u M S 9 L R E w v V 2 F h c m R l J T I w a X M l M j B 2 Z X J 2 Y W 5 n Z W 4 l M j A 5 P C 9 J d G V t U G F 0 a D 4 8 L 0 l 0 Z W 1 M b 2 N h d G l v b j 4 8 U 3 R h Y m x l R W 5 0 c m l l c y A v P j w v S X R l b T 4 8 S X R l b T 4 8 S X R l b U x v Y 2 F 0 a W 9 u P j x J d G V t V H l w Z T 5 G b 3 J t d W x h P C 9 J d G V t V H l w Z T 4 8 S X R l b V B h d G g + U 2 V j d G l v b j E v S 0 R M L 0 t v b G 9 t J T I w c 3 B s a X R z Z W 4 l M j B v c C U y M H N j a G V p Z G l u Z 3 N 0 Z W t l b j w v S X R l b V B h d G g + P C 9 J d G V t T G 9 j Y X R p b 2 4 + P F N 0 Y W J s Z U V u d H J p Z X M g L z 4 8 L 0 l 0 Z W 0 + P E l 0 Z W 0 + P E l 0 Z W 1 M b 2 N h d G l v b j 4 8 S X R l b V R 5 c G U + R m 9 y b X V s Y T w v S X R l b V R 5 c G U + P E l 0 Z W 1 Q Y X R o P l N l Y 3 R p b 2 4 x L 0 t E T C 9 X Y W F y Z G U l M j B p c y U y M H Z l c n Z h b m d l b i U y M D E 8 L 0 l 0 Z W 1 Q Y X R o P j w v S X R l b U x v Y 2 F 0 a W 9 u P j x T d G F i b G V F b n R y a W V z I C 8 + P C 9 J d G V t P j x J d G V t P j x J d G V t T G 9 j Y X R p b 2 4 + P E l 0 Z W 1 U e X B l P k Z v c m 1 1 b G E 8 L 0 l 0 Z W 1 U e X B l P j x J d G V t U G F 0 a D 5 T Z W N 0 a W 9 u M S 9 L R E w v V 2 F h c m R l J T I w a X M l M j B 2 Z X J 2 Y W 5 n Z W 4 l M j A y P C 9 J d G V t U G F 0 a D 4 8 L 0 l 0 Z W 1 M b 2 N h d G l v b j 4 8 U 3 R h Y m x l R W 5 0 c m l l c y A v P j w v S X R l b T 4 8 S X R l b T 4 8 S X R l b U x v Y 2 F 0 a W 9 u P j x J d G V t V H l w Z T 5 G b 3 J t d W x h P C 9 J d G V t V H l w Z T 4 8 S X R l b V B h d G g + U 2 V j d G l v b j E v S 0 R M L 0 5 h b W V u J T I w d m F u J T I w a 2 9 s b 2 1 t Z W 4 l M j B n Z X d p a n p p Z 2 Q 8 L 0 l 0 Z W 1 Q Y X R o P j w v S X R l b U x v Y 2 F 0 a W 9 u P j x T d G F i b G V F b n R y a W V z I C 8 + P C 9 J d G V t P j x J d G V t P j x J d G V t T G 9 j Y X R p b 2 4 + P E l 0 Z W 1 U e X B l P k Z v c m 1 1 b G E 8 L 0 l 0 Z W 1 U e X B l P j x J d G V t U G F 0 a D 5 T Z W N 0 a W 9 u M S 9 L R E w v T m F t Z W 4 l M j B 2 Y W 4 l M j B r b 2 x v b W 1 l b i U y M G d l d 2 l q e m l n Z C U y M D M 8 L 0 l 0 Z W 1 Q Y X R o P j w v S X R l b U x v Y 2 F 0 a W 9 u P j x T d G F i b G V F b n R y a W V z I C 8 + P C 9 J d G V t P j x J d G V t P j x J d G V t T G 9 j Y X R p b 2 4 + P E l 0 Z W 1 U e X B l P k Z v c m 1 1 b G E 8 L 0 l 0 Z W 1 U e X B l P j x J d G V t U G F 0 a D 5 T Z W N 0 a W 9 u M S 9 L R E w v V 2 F h c m R l J T I w a X M l M j B 2 Z X J 2 Y W 5 n Z W 4 l M j A z P C 9 J d G V t U G F 0 a D 4 8 L 0 l 0 Z W 1 M b 2 N h d G l v b j 4 8 U 3 R h Y m x l R W 5 0 c m l l c y A v P j w v S X R l b T 4 8 S X R l b T 4 8 S X R l b U x v Y 2 F 0 a W 9 u P j x J d G V t V H l w Z T 5 G b 3 J t d W x h P C 9 J d G V t V H l w Z T 4 8 S X R l b V B h d G g + U 2 V j d G l v b j E v S 0 R M L 1 d h Y X J k Z S U y M G l z J T I w d m V y d m F u Z 2 V u J T I w N D w v S X R l b V B h d G g + P C 9 J d G V t T G 9 j Y X R p b 2 4 + P F N 0 Y W J s Z U V u d H J p Z X M g L z 4 8 L 0 l 0 Z W 0 + P E l 0 Z W 0 + P E l 0 Z W 1 M b 2 N h d G l v b j 4 8 S X R l b V R 5 c G U + R m 9 y b X V s Y T w v S X R l b V R 5 c G U + P E l 0 Z W 1 Q Y X R o P l N l Y 3 R p b 2 4 x L 0 t E T C 9 O Y W 1 l b i U y M H Z h b i U y M G t v b G 9 t b W V u J T I w Z 2 V 3 a W p 6 a W d k J T I w N D w v S X R l b V B h d G g + P C 9 J d G V t T G 9 j Y X R p b 2 4 + P F N 0 Y W J s Z U V u d H J p Z X M g L z 4 8 L 0 l 0 Z W 0 + P E l 0 Z W 0 + P E l 0 Z W 1 M b 2 N h d G l v b j 4 8 S X R l b V R 5 c G U + R m 9 y b X V s Y T w v S X R l b V R 5 c G U + P E l 0 Z W 1 Q Y X R o P l N l Y 3 R p b 2 4 x L 0 t E T C 9 O Y W 1 l b i U y M H Z h b i U y M G t v b G 9 t b W V u J T I w Z 2 V 3 a W p 6 a W d k J T I w N T w v S X R l b V B h d G g + P C 9 J d G V t T G 9 j Y X R p b 2 4 + P F N 0 Y W J s Z U V u d H J p Z X M g L z 4 8 L 0 l 0 Z W 0 + P E l 0 Z W 0 + P E l 0 Z W 1 M b 2 N h d G l v b j 4 8 S X R l b V R 5 c G U + R m 9 y b X V s Y T w v S X R l b V R 5 c G U + P E l 0 Z W 1 Q Y X R o P l N l Y 3 R p b 2 4 x L 0 t E T C 9 L b 2 x v b W 1 l b i U y M H N h b W V u Z 2 V 2 b 2 V n Z D w v S X R l b V B h d G g + P C 9 J d G V t T G 9 j Y X R p b 2 4 + P F N 0 Y W J s Z U V u d H J p Z X M g L z 4 8 L 0 l 0 Z W 0 + P E l 0 Z W 0 + P E l 0 Z W 1 M b 2 N h d G l v b j 4 8 S X R l b V R 5 c G U + R m 9 y b X V s Y T w v S X R l b V R 5 c G U + P E l 0 Z W 1 Q Y X R o P l N l Y 3 R p b 2 4 x L 0 t E T C 9 L b 2 x v b W 1 l b i U y M H N h b W V u Z 2 V 2 b 2 V n Z C U y M D E 8 L 0 l 0 Z W 1 Q Y X R o P j w v S X R l b U x v Y 2 F 0 a W 9 u P j x T d G F i b G V F b n R y a W V z I C 8 + P C 9 J d G V t P j x J d G V t P j x J d G V t T G 9 j Y X R p b 2 4 + P E l 0 Z W 1 U e X B l P k Z v c m 1 1 b G E 8 L 0 l 0 Z W 1 U e X B l P j x J d G V t U G F 0 a D 5 T Z W N 0 a W 9 u M S 9 L R E w v S 2 9 s b 2 1 t Z W 4 l M j B z Y W 1 l b m d l d m 9 l Z 2 Q l M j A y P C 9 J d G V t U G F 0 a D 4 8 L 0 l 0 Z W 1 M b 2 N h d G l v b j 4 8 U 3 R h Y m x l R W 5 0 c m l l c y A v P j w v S X R l b T 4 8 S X R l b T 4 8 S X R l b U x v Y 2 F 0 a W 9 u P j x J d G V t V H l w Z T 5 G b 3 J t d W x h P C 9 J d G V t V H l w Z T 4 8 S X R l b V B h d G g + U 2 V j d G l v b j E v S 0 R M L 0 5 h b W V u J T I w d m F u J T I w a 2 9 s b 2 1 t Z W 4 l M j B n Z X d p a n p p Z 2 Q l M j A 2 P C 9 J d G V t U G F 0 a D 4 8 L 0 l 0 Z W 1 M b 2 N h d G l v b j 4 8 U 3 R h Y m x l R W 5 0 c m l l c y A v P j w v S X R l b T 4 8 S X R l b T 4 8 S X R l b U x v Y 2 F 0 a W 9 u P j x J d G V t V H l w Z T 5 G b 3 J t d W x h P C 9 J d G V t V H l w Z T 4 8 S X R l b V B h d G g + U 2 V j d G l v b j E v S 0 R M L 0 5 h b W V u J T I w d m F u J T I w a 2 9 s b 2 1 t Z W 4 l M j B n Z X d p a n p p Z 2 Q l M j A 3 P C 9 J d G V t U G F 0 a D 4 8 L 0 l 0 Z W 1 M b 2 N h d G l v b j 4 8 U 3 R h Y m x l R W 5 0 c m l l c y A v P j w v S X R l b T 4 8 S X R l b T 4 8 S X R l b U x v Y 2 F 0 a W 9 u P j x J d G V t V H l w Z T 5 G b 3 J t d W x h P C 9 J d G V t V H l w Z T 4 8 S X R l b V B h d G g + U 2 V j d G l v b j E v S 0 R M L 1 d h Y X J k Z S U y M G l z J T I w d m V y d m F u Z 2 V u J T I w N z w v S X R l b V B h d G g + P C 9 J d G V t T G 9 j Y X R p b 2 4 + P F N 0 Y W J s Z U V u d H J p Z X M g L z 4 8 L 0 l 0 Z W 0 + P E l 0 Z W 0 + P E l 0 Z W 1 M b 2 N h d G l v b j 4 8 S X R l b V R 5 c G U + R m 9 y b X V s Y T w v S X R l b V R 5 c G U + P E l 0 Z W 1 Q Y X R o P l N l Y 3 R p b 2 4 x L 0 t E T C 9 X Y W F y Z G U l M j B p c y U y M H Z l c n Z h b m d l b i U y M D g 8 L 0 l 0 Z W 1 Q Y X R o P j w v S X R l b U x v Y 2 F 0 a W 9 u P j x T d G F i b G V F b n R y a W V z I C 8 + P C 9 J d G V t P j x J d G V t P j x J d G V t T G 9 j Y X R p b 2 4 + P E l 0 Z W 1 U e X B l P k Z v c m 1 1 b G E 8 L 0 l 0 Z W 1 U e X B l P j x J d G V t U G F 0 a D 5 T Z W N 0 a W 9 u M S 9 L R E w v V m 9 s Z 2 9 y Z G U l M j B 2 Y W 4 l M j B r b 2 x v b W 1 l b i U y M G d l d 2 l q e m l n Z D w v S X R l b V B h d G g + P C 9 J d G V t T G 9 j Y X R p b 2 4 + P F N 0 Y W J s Z U V u d H J p Z X M g L z 4 8 L 0 l 0 Z W 0 + P E l 0 Z W 0 + P E l 0 Z W 1 M b 2 N h d G l v b j 4 8 S X R l b V R 5 c G U + R m 9 y b X V s Y T w v S X R l b V R 5 c G U + P E l 0 Z W 1 Q Y X R o P l N l Y 3 R p b 2 4 x L 0 t E T C 9 O Y W 1 l b i U y M H Z h b i U y M G t v b G 9 t b W V u J T I w Z 2 V 3 a W p 6 a W d k J T I w O T w v S X R l b V B h d G g + P C 9 J d G V t T G 9 j Y X R p b 2 4 + P F N 0 Y W J s Z U V u d H J p Z X M g L z 4 8 L 0 l 0 Z W 0 + P E l 0 Z W 0 + P E l 0 Z W 1 M b 2 N h d G l v b j 4 8 S X R l b V R 5 c G U + R m 9 y b X V s Y T w v S X R l b V R 5 c G U + P E l 0 Z W 1 Q Y X R o P l N l Y 3 R p b 2 4 x L 0 t E T C 9 I Z X Q l M j B r b 2 x v b X R 5 c G U l M j B p c y U y M G d l d 2 l q e m l n Z C U y M D E 8 L 0 l 0 Z W 1 Q Y X R o P j w v S X R l b U x v Y 2 F 0 a W 9 u P j x T d G F i b G V F b n R y a W V z I C 8 + P C 9 J d G V t P j x J d G V t P j x J d G V t T G 9 j Y X R p b 2 4 + P E l 0 Z W 1 U e X B l P k Z v c m 1 1 b G E 8 L 0 l 0 Z W 1 U e X B l P j x J d G V t U G F 0 a D 5 T Z W N 0 a W 9 u M S 9 L R E w v R 2 V z b 3 J 0 Z W V y Z G U l M j B y a W p l b j w v S X R l b V B h d G g + P C 9 J d G V t T G 9 j Y X R p b 2 4 + P F N 0 Y W J s Z U V u d H J p Z X M g L z 4 8 L 0 l 0 Z W 0 + P E l 0 Z W 0 + P E l 0 Z W 1 M b 2 N h d G l v b j 4 8 S X R l b V R 5 c G U + R m 9 y b X V s Y T w v S X R l b V R 5 c G U + P E l 0 Z W 1 Q Y X R o P l N l Y 3 R p b 2 4 x L 0 d L V k k v V m 9 v c n d h Y X J k Z W x p a m t l J T I w a 2 9 s b 2 0 l M j B p b m d l d m 9 l Z 2 Q y M D w v S X R l b V B h d G g + P C 9 J d G V t T G 9 j Y X R p b 2 4 + P F N 0 Y W J s Z U V u d H J p Z X M g L z 4 8 L 0 l 0 Z W 0 + P E l 0 Z W 0 + P E l 0 Z W 1 M b 2 N h d G l v b j 4 8 S X R l b V R 5 c G U + R m 9 y b X V s Y T w v S X R l b V R 5 c G U + P E l 0 Z W 1 Q Y X R o P l N l Y 3 R p b 2 4 x L 0 d L V k k v V m 9 v c n d h Y X J k Z W x p a m t l J T I w a 2 9 s b 2 0 l M j B p b m d l d m 9 l Z 2 Q y M T w v S X R l b V B h d G g + P C 9 J d G V t T G 9 j Y X R p b 2 4 + P F N 0 Y W J s Z U V u d H J p Z X M g L z 4 8 L 0 l 0 Z W 0 + P E l 0 Z W 0 + P E l 0 Z W 1 M b 2 N h d G l v b j 4 8 S X R l b V R 5 c G U + R m 9 y b X V s Y T w v S X R l b V R 5 c G U + P E l 0 Z W 1 Q Y X R o P l N l Y 3 R p b 2 4 x L 0 d L V k k v V m 9 v c n d h Y X J k Z W x p a m t l J T I w a 2 9 s b 2 0 l M j B p b m d l d m 9 l Z 2 Q y M j w v S X R l b V B h d G g + P C 9 J d G V t T G 9 j Y X R p b 2 4 + P F N 0 Y W J s Z U V u d H J p Z X M g L z 4 8 L 0 l 0 Z W 0 + P E l 0 Z W 0 + P E l 0 Z W 1 M b 2 N h d G l v b j 4 8 S X R l b V R 5 c G U + R m 9 y b X V s Y T w v S X R l b V R 5 c G U + P E l 0 Z W 1 Q Y X R o P l N l Y 3 R p b 2 4 x L 0 d L V k k v Q W F u Z 2 V w Y X N 0 J T I w a X R l b S U y M H R v Z W d l d m 9 l Z 2 Q y M z w v S X R l b V B h d G g + P C 9 J d G V t T G 9 j Y X R p b 2 4 + P F N 0 Y W J s Z U V u d H J p Z X M g L z 4 8 L 0 l 0 Z W 0 + P E l 0 Z W 0 + P E l 0 Z W 1 M b 2 N h d G l v b j 4 8 S X R l b V R 5 c G U + R m 9 y b X V s Y T w v S X R l b V R 5 c G U + P E l 0 Z W 1 Q Y X R o P l N l Y 3 R p b 2 4 x L 0 d L V k k v V m 9 v c n d h Y X J k Z W x p a m t l J T I w a 2 9 s b 2 0 l M j B p b m d l d m 9 l Z 2 Q y M z w v S X R l b V B h d G g + P C 9 J d G V t T G 9 j Y X R p b 2 4 + P F N 0 Y W J s Z U V u d H J p Z X M g L z 4 8 L 0 l 0 Z W 0 + P E l 0 Z W 0 + P E l 0 Z W 1 M b 2 N h d G l v b j 4 8 S X R l b V R 5 c G U + R m 9 y b X V s Y T w v S X R l b V R 5 c G U + P E l 0 Z W 1 Q Y X R o P l N l Y 3 R p b 2 4 x L 0 d L V k k v Q W F u Z 2 V w Y X N 0 J T I w a X R l b S U y M H R v Z W d l d m 9 l Z 2 Q y N D w v S X R l b V B h d G g + P C 9 J d G V t T G 9 j Y X R p b 2 4 + P F N 0 Y W J s Z U V u d H J p Z X M g L z 4 8 L 0 l 0 Z W 0 + P E l 0 Z W 0 + P E l 0 Z W 1 M b 2 N h d G l v b j 4 8 S X R l b V R 5 c G U + R m 9 y b X V s Y T w v S X R l b V R 5 c G U + P E l 0 Z W 1 Q Y X R o P l N l Y 3 R p b 2 4 x L 0 d L V k k v Q W F u Z 2 V w Y X N 0 J T I w a X R l b S U y M H R v Z W d l d m 9 l Z 2 Q y N T w v S X R l b V B h d G g + P C 9 J d G V t T G 9 j Y X R p b 2 4 + P F N 0 Y W J s Z U V u d H J p Z X M g L z 4 8 L 0 l 0 Z W 0 + P E l 0 Z W 0 + P E l 0 Z W 1 M b 2 N h d G l v b j 4 8 S X R l b V R 5 c G U + R m 9 y b X V s Y T w v S X R l b V R 5 c G U + P E l 0 Z W 1 Q Y X R o P l N l Y 3 R p b 2 4 x L 0 d L V k k v Q W F u Z 2 V w Y X N 0 J T I w a X R l b S U y M H R v Z W d l d m 9 l Z 2 Q y N j w v S X R l b V B h d G g + P C 9 J d G V t T G 9 j Y X R p b 2 4 + P F N 0 Y W J s Z U V u d H J p Z X M g L z 4 8 L 0 l 0 Z W 0 + P E l 0 Z W 0 + P E l 0 Z W 1 M b 2 N h d G l v b j 4 8 S X R l b V R 5 c G U + R m 9 y b X V s Y T w v S X R l b V R 5 c G U + P E l 0 Z W 1 Q Y X R o P l N l Y 3 R p b 2 4 x L 0 d L V k k v V m 9 v c n d h Y X J k Z W x p a m t l J T I w a 2 9 s b 2 0 l M j B p b m d l d m 9 l Z 2 Q y N D w v S X R l b V B h d G g + P C 9 J d G V t T G 9 j Y X R p b 2 4 + P F N 0 Y W J s Z U V u d H J p Z X M g L z 4 8 L 0 l 0 Z W 0 + P E l 0 Z W 0 + P E l 0 Z W 1 M b 2 N h d G l v b j 4 8 S X R l b V R 5 c G U + R m 9 y b X V s Y T w v S X R l b V R 5 c G U + P E l 0 Z W 1 Q Y X R o P l N l Y 3 R p b 2 4 x L 0 d L V k k v V m 9 v c n d h Y X J k Z W x p a m t l J T I w a 2 9 s b 2 0 l M j B p b m d l d m 9 l Z 2 Q y N T w v S X R l b V B h d G g + P C 9 J d G V t T G 9 j Y X R p b 2 4 + P F N 0 Y W J s Z U V u d H J p Z X M g L z 4 8 L 0 l 0 Z W 0 + P E l 0 Z W 0 + P E l 0 Z W 1 M b 2 N h d G l v b j 4 8 S X R l b V R 5 c G U + R m 9 y b X V s Y T w v S X R l b V R 5 c G U + P E l 0 Z W 1 Q Y X R o P l N l Y 3 R p b 2 4 x L 0 d L V k k v V m 9 v c n d h Y X J k Z W x p a m t l J T I w a 2 9 s b 2 0 l M j B p b m d l d m 9 l Z 2 Q y N j w v S X R l b V B h d G g + P C 9 J d G V t T G 9 j Y X R p b 2 4 + P F N 0 Y W J s Z U V u d H J p Z X M g L z 4 8 L 0 l 0 Z W 0 + P E l 0 Z W 0 + P E l 0 Z W 1 M b 2 N h d G l v b j 4 8 S X R l b V R 5 c G U + R m 9 y b X V s Y T w v S X R l b V R 5 c G U + P E l 0 Z W 1 Q Y X R o P l N l Y 3 R p b 2 4 x L 0 d L V k k v Q W F u Z 2 V w Y X N 0 J T I w a X R l b S U y M H R v Z W d l d m 9 l Z 2 Q y N z w v S X R l b V B h d G g + P C 9 J d G V t T G 9 j Y X R p b 2 4 + P F N 0 Y W J s Z U V u d H J p Z X M g L z 4 8 L 0 l 0 Z W 0 + P E l 0 Z W 0 + P E l 0 Z W 1 M b 2 N h d G l v b j 4 8 S X R l b V R 5 c G U + R m 9 y b X V s Y T w v S X R l b V R 5 c G U + P E l 0 Z W 1 Q Y X R o P l N l Y 3 R p b 2 4 x L 0 d L V k k v V m 9 v c n d h Y X J k Z W x p a m t l J T I w a 2 9 s b 2 0 l M j B p b m d l d m 9 l Z 2 Q y N z w v S X R l b V B h d G g + P C 9 J d G V t T G 9 j Y X R p b 2 4 + P F N 0 Y W J s Z U V u d H J p Z X M g L z 4 8 L 0 l 0 Z W 0 + P E l 0 Z W 0 + P E l 0 Z W 1 M b 2 N h d G l v b j 4 8 S X R l b V R 5 c G U + R m 9 y b X V s Y T w v S X R l b V R 5 c G U + P E l 0 Z W 1 Q Y X R o P l N l Y 3 R p b 2 4 x L 0 d L V k k v Q W F u Z 2 V w Y X N 0 J T I w a X R l b S U y M H R v Z W d l d m 9 l Z 2 Q y O D w v S X R l b V B h d G g + P C 9 J d G V t T G 9 j Y X R p b 2 4 + P F N 0 Y W J s Z U V u d H J p Z X M g L z 4 8 L 0 l 0 Z W 0 + P E l 0 Z W 0 + P E l 0 Z W 1 M b 2 N h d G l v b j 4 8 S X R l b V R 5 c G U + R m 9 y b X V s Y T w v S X R l b V R 5 c G U + P E l 0 Z W 1 Q Y X R o P l N l Y 3 R p b 2 4 x L 0 d L V k k v V m 9 v c n d h Y X J k Z W x p a m t l J T I w a 2 9 s b 2 0 l M j B p b m d l d m 9 l Z 2 Q y O D w v S X R l b V B h d G g + P C 9 J d G V t T G 9 j Y X R p b 2 4 + P F N 0 Y W J s Z U V u d H J p Z X M g L z 4 8 L 0 l 0 Z W 0 + P E l 0 Z W 0 + P E l 0 Z W 1 M b 2 N h d G l v b j 4 8 S X R l b V R 5 c G U + R m 9 y b X V s Y T w v S X R l b V R 5 c G U + P E l 0 Z W 1 Q Y X R o P l N l Y 3 R p b 2 4 x L 0 d L V k k v Q W F u Z 2 V w Y X N 0 J T I w a X R l b S U y M H R v Z W d l d m 9 l Z 2 Q y O T w v S X R l b V B h d G g + P C 9 J d G V t T G 9 j Y X R p b 2 4 + P F N 0 Y W J s Z U V u d H J p Z X M g L z 4 8 L 0 l 0 Z W 0 + P E l 0 Z W 0 + P E l 0 Z W 1 M b 2 N h d G l v b j 4 8 S X R l b V R 5 c G U + R m 9 y b X V s Y T w v S X R l b V R 5 c G U + P E l 0 Z W 1 Q Y X R o P l N l Y 3 R p b 2 4 x L 0 d L V k k v V m 9 v c n d h Y X J k Z W x p a m t l J T I w a 2 9 s b 2 0 l M j B p b m d l d m 9 l Z 2 Q y O T w v S X R l b V B h d G g + P C 9 J d G V t T G 9 j Y X R p b 2 4 + P F N 0 Y W J s Z U V u d H J p Z X M g L z 4 8 L 0 l 0 Z W 0 + P E l 0 Z W 0 + P E l 0 Z W 1 M b 2 N h d G l v b j 4 8 S X R l b V R 5 c G U + R m 9 y b X V s Y T w v S X R l b V R 5 c G U + P E l 0 Z W 1 Q Y X R o P l N l Y 3 R p b 2 4 x L 0 d L V k k v Q W F u Z 2 V w Y X N 0 J T I w a X R l b S U y M H R v Z W d l d m 9 l Z 2 Q z M D w v S X R l b V B h d G g + P C 9 J d G V t T G 9 j Y X R p b 2 4 + P F N 0 Y W J s Z U V u d H J p Z X M g L z 4 8 L 0 l 0 Z W 0 + P E l 0 Z W 0 + P E l 0 Z W 1 M b 2 N h d G l v b j 4 8 S X R l b V R 5 c G U + R m 9 y b X V s Y T w v S X R l b V R 5 c G U + P E l 0 Z W 1 Q Y X R o P l N l Y 3 R p b 2 4 x L 0 d L V k k v Q W F u Z 2 V w Y X N 0 J T I w a X R l b S U y M H R v Z W d l d m 9 l Z 2 Q z M T w v S X R l b V B h d G g + P C 9 J d G V t T G 9 j Y X R p b 2 4 + P F N 0 Y W J s Z U V u d H J p Z X M g L z 4 8 L 0 l 0 Z W 0 + P E l 0 Z W 0 + P E l 0 Z W 1 M b 2 N h d G l v b j 4 8 S X R l b V R 5 c G U + R m 9 y b X V s Y T w v S X R l b V R 5 c G U + P E l 0 Z W 1 Q Y X R o P l N l Y 3 R p b 2 4 x L 0 d L V k k v Q W F u Z 2 V w Y X N 0 J T I w a X R l b S U y M H R v Z W d l d m 9 l Z 2 Q z M j w v S X R l b V B h d G g + P C 9 J d G V t T G 9 j Y X R p b 2 4 + P F N 0 Y W J s Z U V u d H J p Z X M g L z 4 8 L 0 l 0 Z W 0 + P E l 0 Z W 0 + P E l 0 Z W 1 M b 2 N h d G l v b j 4 8 S X R l b V R 5 c G U + R m 9 y b X V s Y T w v S X R l b V R 5 c G U + P E l 0 Z W 1 Q Y X R o P l N l Y 3 R p b 2 4 x L 0 t E T S 9 W b 2 9 y d 2 F h c m R l b G l q a 2 U l M j B r b 2 x v b S U y M G l u Z 2 V 2 b 2 V n Z D I w P C 9 J d G V t U G F 0 a D 4 8 L 0 l 0 Z W 1 M b 2 N h d G l v b j 4 8 U 3 R h Y m x l R W 5 0 c m l l c y A v P j w v S X R l b T 4 8 S X R l b T 4 8 S X R l b U x v Y 2 F 0 a W 9 u P j x J d G V t V H l w Z T 5 G b 3 J t d W x h P C 9 J d G V t V H l w Z T 4 8 S X R l b V B h d G g + U 2 V j d G l v b j E v S 0 R N L 1 Z v b 3 J 3 Y W F y Z G V s a W p r Z S U y M G t v b G 9 t J T I w a W 5 n Z X Z v Z W d k M j E 8 L 0 l 0 Z W 1 Q Y X R o P j w v S X R l b U x v Y 2 F 0 a W 9 u P j x T d G F i b G V F b n R y a W V z I C 8 + P C 9 J d G V t P j x J d G V t P j x J d G V t T G 9 j Y X R p b 2 4 + P E l 0 Z W 1 U e X B l P k Z v c m 1 1 b G E 8 L 0 l 0 Z W 1 U e X B l P j x J d G V t U G F 0 a D 5 T Z W N 0 a W 9 u M S 9 L R E 0 v V m 9 v c n d h Y X J k Z W x p a m t l J T I w a 2 9 s b 2 0 l M j B p b m d l d m 9 l Z 2 Q y M j w v S X R l b V B h d G g + P C 9 J d G V t T G 9 j Y X R p b 2 4 + P F N 0 Y W J s Z U V u d H J p Z X M g L z 4 8 L 0 l 0 Z W 0 + P E l 0 Z W 0 + P E l 0 Z W 1 M b 2 N h d G l v b j 4 8 S X R l b V R 5 c G U + R m 9 y b X V s Y T w v S X R l b V R 5 c G U + P E l 0 Z W 1 Q Y X R o P l N l Y 3 R p b 2 4 x L 0 t E T S 9 B Y W 5 n Z X B h c 3 Q l M j B p d G V t J T I w d G 9 l Z 2 V 2 b 2 V n Z D I z P C 9 J d G V t U G F 0 a D 4 8 L 0 l 0 Z W 1 M b 2 N h d G l v b j 4 8 U 3 R h Y m x l R W 5 0 c m l l c y A v P j w v S X R l b T 4 8 S X R l b T 4 8 S X R l b U x v Y 2 F 0 a W 9 u P j x J d G V t V H l w Z T 5 G b 3 J t d W x h P C 9 J d G V t V H l w Z T 4 8 S X R l b V B h d G g + U 2 V j d G l v b j E v S 0 R N L 1 Z v b 3 J 3 Y W F y Z G V s a W p r Z S U y M G t v b G 9 t J T I w a W 5 n Z X Z v Z W d k M j M 8 L 0 l 0 Z W 1 Q Y X R o P j w v S X R l b U x v Y 2 F 0 a W 9 u P j x T d G F i b G V F b n R y a W V z I C 8 + P C 9 J d G V t P j x J d G V t P j x J d G V t T G 9 j Y X R p b 2 4 + P E l 0 Z W 1 U e X B l P k Z v c m 1 1 b G E 8 L 0 l 0 Z W 1 U e X B l P j x J d G V t U G F 0 a D 5 T Z W N 0 a W 9 u M S 9 L R E 0 v Q W F u Z 2 V w Y X N 0 J T I w a X R l b S U y M H R v Z W d l d m 9 l Z 2 Q y N D w v S X R l b V B h d G g + P C 9 J d G V t T G 9 j Y X R p b 2 4 + P F N 0 Y W J s Z U V u d H J p Z X M g L z 4 8 L 0 l 0 Z W 0 + P E l 0 Z W 0 + P E l 0 Z W 1 M b 2 N h d G l v b j 4 8 S X R l b V R 5 c G U + R m 9 y b X V s Y T w v S X R l b V R 5 c G U + P E l 0 Z W 1 Q Y X R o P l N l Y 3 R p b 2 4 x L 0 t E T S 9 W b 2 9 y d 2 F h c m R l b G l q a 2 U l M j B r b 2 x v b S U y M G l u Z 2 V 2 b 2 V n Z D I 0 P C 9 J d G V t U G F 0 a D 4 8 L 0 l 0 Z W 1 M b 2 N h d G l v b j 4 8 U 3 R h Y m x l R W 5 0 c m l l c y A v P j w v S X R l b T 4 8 S X R l b T 4 8 S X R l b U x v Y 2 F 0 a W 9 u P j x J d G V t V H l w Z T 5 G b 3 J t d W x h P C 9 J d G V t V H l w Z T 4 8 S X R l b V B h d G g + U 2 V j d G l v b j E v S 0 R N L 0 F h b m d l c G F z d C U y M G l 0 Z W 0 l M j B 0 b 2 V n Z X Z v Z W d k M j U 8 L 0 l 0 Z W 1 Q Y X R o P j w v S X R l b U x v Y 2 F 0 a W 9 u P j x T d G F i b G V F b n R y a W V z I C 8 + P C 9 J d G V t P j x J d G V t P j x J d G V t T G 9 j Y X R p b 2 4 + P E l 0 Z W 1 U e X B l P k Z v c m 1 1 b G E 8 L 0 l 0 Z W 1 U e X B l P j x J d G V t U G F 0 a D 5 T Z W N 0 a W 9 u M S 9 L R E 0 v V m 9 v c n d h Y X J k Z W x p a m t l J T I w a 2 9 s b 2 0 l M j B p b m d l d m 9 l Z 2 Q y N T w v S X R l b V B h d G g + P C 9 J d G V t T G 9 j Y X R p b 2 4 + P F N 0 Y W J s Z U V u d H J p Z X M g L z 4 8 L 0 l 0 Z W 0 + P E l 0 Z W 0 + P E l 0 Z W 1 M b 2 N h d G l v b j 4 8 S X R l b V R 5 c G U + R m 9 y b X V s Y T w v S X R l b V R 5 c G U + P E l 0 Z W 1 Q Y X R o P l N l Y 3 R p b 2 4 x L 0 t E T S 9 B Y W 5 n Z X B h c 3 Q l M j B p d G V t J T I w d G 9 l Z 2 V 2 b 2 V n Z D I 2 P C 9 J d G V t U G F 0 a D 4 8 L 0 l 0 Z W 1 M b 2 N h d G l v b j 4 8 U 3 R h Y m x l R W 5 0 c m l l c y A v P j w v S X R l b T 4 8 S X R l b T 4 8 S X R l b U x v Y 2 F 0 a W 9 u P j x J d G V t V H l w Z T 5 G b 3 J t d W x h P C 9 J d G V t V H l w Z T 4 8 S X R l b V B h d G g + U 2 V j d G l v b j E v S 0 R N L 1 Z v b 3 J 3 Y W F y Z G V s a W p r Z S U y M G t v b G 9 t J T I w a W 5 n Z X Z v Z W d k M j Y 8 L 0 l 0 Z W 1 Q Y X R o P j w v S X R l b U x v Y 2 F 0 a W 9 u P j x T d G F i b G V F b n R y a W V z I C 8 + P C 9 J d G V t P j x J d G V t P j x J d G V t T G 9 j Y X R p b 2 4 + P E l 0 Z W 1 U e X B l P k Z v c m 1 1 b G E 8 L 0 l 0 Z W 1 U e X B l P j x J d G V t U G F 0 a D 5 T Z W N 0 a W 9 u M S 9 L R E 0 v Q W F u Z 2 V w Y X N 0 J T I w a X R l b S U y M H R v Z W d l d m 9 l Z 2 Q y N z w v S X R l b V B h d G g + P C 9 J d G V t T G 9 j Y X R p b 2 4 + P F N 0 Y W J s Z U V u d H J p Z X M g L z 4 8 L 0 l 0 Z W 0 + P E l 0 Z W 0 + P E l 0 Z W 1 M b 2 N h d G l v b j 4 8 S X R l b V R 5 c G U + R m 9 y b X V s Y T w v S X R l b V R 5 c G U + P E l 0 Z W 1 Q Y X R o P l N l Y 3 R p b 2 4 x L 0 t E T S 9 W b 2 9 y d 2 F h c m R l b G l q a 2 U l M j B r b 2 x v b S U y M G l u Z 2 V 2 b 2 V n Z D I 3 P C 9 J d G V t U G F 0 a D 4 8 L 0 l 0 Z W 1 M b 2 N h d G l v b j 4 8 U 3 R h Y m x l R W 5 0 c m l l c y A v P j w v S X R l b T 4 8 S X R l b T 4 8 S X R l b U x v Y 2 F 0 a W 9 u P j x J d G V t V H l w Z T 5 G b 3 J t d W x h P C 9 J d G V t V H l w Z T 4 8 S X R l b V B h d G g + U 2 V j d G l v b j E v S 0 R N L 1 Z v b 3 J 3 Y W F y Z G V s a W p r Z S U y M G t v b G 9 t J T I w a W 5 n Z X Z v Z W d k M j g 8 L 0 l 0 Z W 1 Q Y X R o P j w v S X R l b U x v Y 2 F 0 a W 9 u P j x T d G F i b G V F b n R y a W V z I C 8 + P C 9 J d G V t P j x J d G V t P j x J d G V t T G 9 j Y X R p b 2 4 + P E l 0 Z W 1 U e X B l P k Z v c m 1 1 b G E 8 L 0 l 0 Z W 1 U e X B l P j x J d G V t U G F 0 a D 5 T Z W N 0 a W 9 u M S 9 L R E 0 v V m 9 v c n d h Y X J k Z W x p a m t l J T I w a 2 9 s b 2 0 l M j B p b m d l d m 9 l Z 2 Q y O T w v S X R l b V B h d G g + P C 9 J d G V t T G 9 j Y X R p b 2 4 + P F N 0 Y W J s Z U V u d H J p Z X M g L z 4 8 L 0 l 0 Z W 0 + P E l 0 Z W 0 + P E l 0 Z W 1 M b 2 N h d G l v b j 4 8 S X R l b V R 5 c G U + R m 9 y b X V s Y T w v S X R l b V R 5 c G U + P E l 0 Z W 1 Q Y X R o P l N l Y 3 R p b 2 4 x L 0 t E T S 9 B Y W 5 n Z X B h c 3 Q l M j B p d G V t J T I w d G 9 l Z 2 V 2 b 2 V n Z D U 4 P C 9 J d G V t U G F 0 a D 4 8 L 0 l 0 Z W 1 M b 2 N h d G l v b j 4 8 U 3 R h Y m x l R W 5 0 c m l l c y A v P j w v S X R l b T 4 8 S X R l b T 4 8 S X R l b U x v Y 2 F 0 a W 9 u P j x J d G V t V H l w Z T 5 G b 3 J t d W x h P C 9 J d G V t V H l w Z T 4 8 S X R l b V B h d G g + U 2 V j d G l v b j E v S 0 R N L 0 F h b m d l c G F z d C U y M G l 0 Z W 0 l M j B 0 b 2 V n Z X Z v Z W d k N T k 8 L 0 l 0 Z W 1 Q Y X R o P j w v S X R l b U x v Y 2 F 0 a W 9 u P j x T d G F i b G V F b n R y a W V z I C 8 + P C 9 J d G V t P j x J d G V t P j x J d G V t T G 9 j Y X R p b 2 4 + P E l 0 Z W 1 U e X B l P k Z v c m 1 1 b G E 8 L 0 l 0 Z W 1 U e X B l P j x J d G V t U G F 0 a D 5 T Z W N 0 a W 9 u M S 9 L R E 0 v Q W F u Z 2 V w Y X N 0 J T I w a X R l b S U y M H R v Z W d l d m 9 l Z 2 Q 2 M D w v S X R l b V B h d G g + P C 9 J d G V t T G 9 j Y X R p b 2 4 + P F N 0 Y W J s Z U V u d H J p Z X M g L z 4 8 L 0 l 0 Z W 0 + P E l 0 Z W 0 + P E l 0 Z W 1 M b 2 N h d G l v b j 4 8 S X R l b V R 5 c G U + R m 9 y b X V s Y T w v S X R l b V R 5 c G U + P E l 0 Z W 1 Q Y X R o P l N l Y 3 R p b 2 4 x L 0 t E T S 9 B Y W 5 n Z X B h c 3 Q l M j B p d G V t J T I w d G 9 l Z 2 V 2 b 2 V n Z D Y x P C 9 J d G V t U G F 0 a D 4 8 L 0 l 0 Z W 1 M b 2 N h d G l v b j 4 8 U 3 R h Y m x l R W 5 0 c m l l c y A v P j w v S X R l b T 4 8 S X R l b T 4 8 S X R l b U x v Y 2 F 0 a W 9 u P j x J d G V t V H l w Z T 5 G b 3 J t d W x h P C 9 J d G V t V H l w Z T 4 8 S X R l b V B h d G g + U 2 V j d G l v b j E v S 0 R N L 0 F h b m d l c G F z d C U y M G l 0 Z W 0 l M j B 0 b 2 V n Z X Z v Z W d k N j I 8 L 0 l 0 Z W 1 Q Y X R o P j w v S X R l b U x v Y 2 F 0 a W 9 u P j x T d G F i b G V F b n R y a W V z I C 8 + P C 9 J d G V t P j x J d G V t P j x J d G V t T G 9 j Y X R p b 2 4 + P E l 0 Z W 1 U e X B l P k Z v c m 1 1 b G E 8 L 0 l 0 Z W 1 U e X B l P j x J d G V t U G F 0 a D 5 T Z W N 0 a W 9 u M S 9 L R E w v V m 9 v c n d h Y X J k Z W x p a m t l J T I w a 2 9 s b 2 0 l M j B p b m d l d m 9 l Z 2 Q y M D w v S X R l b V B h d G g + P C 9 J d G V t T G 9 j Y X R p b 2 4 + P F N 0 Y W J s Z U V u d H J p Z X M g L z 4 8 L 0 l 0 Z W 0 + P E l 0 Z W 0 + P E l 0 Z W 1 M b 2 N h d G l v b j 4 8 S X R l b V R 5 c G U + R m 9 y b X V s Y T w v S X R l b V R 5 c G U + P E l 0 Z W 1 Q Y X R o P l N l Y 3 R p b 2 4 x L 0 t E T C 9 W b 2 9 y d 2 F h c m R l b G l q a 2 U l M j B r b 2 x v b S U y M G l u Z 2 V 2 b 2 V n Z D I x P C 9 J d G V t U G F 0 a D 4 8 L 0 l 0 Z W 1 M b 2 N h d G l v b j 4 8 U 3 R h Y m x l R W 5 0 c m l l c y A v P j w v S X R l b T 4 8 S X R l b T 4 8 S X R l b U x v Y 2 F 0 a W 9 u P j x J d G V t V H l w Z T 5 G b 3 J t d W x h P C 9 J d G V t V H l w Z T 4 8 S X R l b V B h d G g + U 2 V j d G l v b j E v S 0 R M L 1 Z v b 3 J 3 Y W F y Z G V s a W p r Z S U y M G t v b G 9 t J T I w a W 5 n Z X Z v Z W d k M j I 8 L 0 l 0 Z W 1 Q Y X R o P j w v S X R l b U x v Y 2 F 0 a W 9 u P j x T d G F i b G V F b n R y a W V z I C 8 + P C 9 J d G V t P j x J d G V t P j x J d G V t T G 9 j Y X R p b 2 4 + P E l 0 Z W 1 U e X B l P k Z v c m 1 1 b G E 8 L 0 l 0 Z W 1 U e X B l P j x J d G V t U G F 0 a D 5 T Z W N 0 a W 9 u M S 9 L R E w v Q W F u Z 2 V w Y X N 0 J T I w a X R l b S U y M H R v Z W d l d m 9 l Z 2 Q y M z w v S X R l b V B h d G g + P C 9 J d G V t T G 9 j Y X R p b 2 4 + P F N 0 Y W J s Z U V u d H J p Z X M g L z 4 8 L 0 l 0 Z W 0 + P E l 0 Z W 0 + P E l 0 Z W 1 M b 2 N h d G l v b j 4 8 S X R l b V R 5 c G U + R m 9 y b X V s Y T w v S X R l b V R 5 c G U + P E l 0 Z W 1 Q Y X R o P l N l Y 3 R p b 2 4 x L 0 t E T C 9 W b 2 9 y d 2 F h c m R l b G l q a 2 U l M j B r b 2 x v b S U y M G l u Z 2 V 2 b 2 V n Z D I z P C 9 J d G V t U G F 0 a D 4 8 L 0 l 0 Z W 1 M b 2 N h d G l v b j 4 8 U 3 R h Y m x l R W 5 0 c m l l c y A v P j w v S X R l b T 4 8 S X R l b T 4 8 S X R l b U x v Y 2 F 0 a W 9 u P j x J d G V t V H l w Z T 5 G b 3 J t d W x h P C 9 J d G V t V H l w Z T 4 8 S X R l b V B h d G g + U 2 V j d G l v b j E v S 0 R M L 0 F h b m d l c G F z d C U y M G l 0 Z W 0 l M j B 0 b 2 V n Z X Z v Z W d k M j Q 8 L 0 l 0 Z W 1 Q Y X R o P j w v S X R l b U x v Y 2 F 0 a W 9 u P j x T d G F i b G V F b n R y a W V z I C 8 + P C 9 J d G V t P j x J d G V t P j x J d G V t T G 9 j Y X R p b 2 4 + P E l 0 Z W 1 U e X B l P k Z v c m 1 1 b G E 8 L 0 l 0 Z W 1 U e X B l P j x J d G V t U G F 0 a D 5 T Z W N 0 a W 9 u M S 9 L R E w v V m 9 v c n d h Y X J k Z W x p a m t l J T I w a 2 9 s b 2 0 l M j B p b m d l d m 9 l Z 2 Q y N D w v S X R l b V B h d G g + P C 9 J d G V t T G 9 j Y X R p b 2 4 + P F N 0 Y W J s Z U V u d H J p Z X M g L z 4 8 L 0 l 0 Z W 0 + P E l 0 Z W 0 + P E l 0 Z W 1 M b 2 N h d G l v b j 4 8 S X R l b V R 5 c G U + R m 9 y b X V s Y T w v S X R l b V R 5 c G U + P E l 0 Z W 1 Q Y X R o P l N l Y 3 R p b 2 4 x L 0 t E T C 9 B Y W 5 n Z X B h c 3 Q l M j B p d G V t J T I w d G 9 l Z 2 V 2 b 2 V n Z D I 1 P C 9 J d G V t U G F 0 a D 4 8 L 0 l 0 Z W 1 M b 2 N h d G l v b j 4 8 U 3 R h Y m x l R W 5 0 c m l l c y A v P j w v S X R l b T 4 8 S X R l b T 4 8 S X R l b U x v Y 2 F 0 a W 9 u P j x J d G V t V H l w Z T 5 G b 3 J t d W x h P C 9 J d G V t V H l w Z T 4 8 S X R l b V B h d G g + U 2 V j d G l v b j E v S 0 R M L 1 Z v b 3 J 3 Y W F y Z G V s a W p r Z S U y M G t v b G 9 t J T I w a W 5 n Z X Z v Z W d k M j U 8 L 0 l 0 Z W 1 Q Y X R o P j w v S X R l b U x v Y 2 F 0 a W 9 u P j x T d G F i b G V F b n R y a W V z I C 8 + P C 9 J d G V t P j x J d G V t P j x J d G V t T G 9 j Y X R p b 2 4 + P E l 0 Z W 1 U e X B l P k Z v c m 1 1 b G E 8 L 0 l 0 Z W 1 U e X B l P j x J d G V t U G F 0 a D 5 T Z W N 0 a W 9 u M S 9 L R E w v Q W F u Z 2 V w Y X N 0 J T I w a X R l b S U y M H R v Z W d l d m 9 l Z 2 Q y N j w v S X R l b V B h d G g + P C 9 J d G V t T G 9 j Y X R p b 2 4 + P F N 0 Y W J s Z U V u d H J p Z X M g L z 4 8 L 0 l 0 Z W 0 + P E l 0 Z W 0 + P E l 0 Z W 1 M b 2 N h d G l v b j 4 8 S X R l b V R 5 c G U + R m 9 y b X V s Y T w v S X R l b V R 5 c G U + P E l 0 Z W 1 Q Y X R o P l N l Y 3 R p b 2 4 x L 0 t E T C 9 W b 2 9 y d 2 F h c m R l b G l q a 2 U l M j B r b 2 x v b S U y M G l u Z 2 V 2 b 2 V n Z D I 2 P C 9 J d G V t U G F 0 a D 4 8 L 0 l 0 Z W 1 M b 2 N h d G l v b j 4 8 U 3 R h Y m x l R W 5 0 c m l l c y A v P j w v S X R l b T 4 8 S X R l b T 4 8 S X R l b U x v Y 2 F 0 a W 9 u P j x J d G V t V H l w Z T 5 G b 3 J t d W x h P C 9 J d G V t V H l w Z T 4 8 S X R l b V B h d G g + U 2 V j d G l v b j E v S 0 R M L 0 F h b m d l c G F z d C U y M G l 0 Z W 0 l M j B 0 b 2 V n Z X Z v Z W d k M j c 8 L 0 l 0 Z W 1 Q Y X R o P j w v S X R l b U x v Y 2 F 0 a W 9 u P j x T d G F i b G V F b n R y a W V z I C 8 + P C 9 J d G V t P j x J d G V t P j x J d G V t T G 9 j Y X R p b 2 4 + P E l 0 Z W 1 U e X B l P k Z v c m 1 1 b G E 8 L 0 l 0 Z W 1 U e X B l P j x J d G V t U G F 0 a D 5 T Z W N 0 a W 9 u M S 9 L R E w v V m 9 v c n d h Y X J k Z W x p a m t l J T I w a 2 9 s b 2 0 l M j B p b m d l d m 9 l Z 2 Q y N z w v S X R l b V B h d G g + P C 9 J d G V t T G 9 j Y X R p b 2 4 + P F N 0 Y W J s Z U V u d H J p Z X M g L z 4 8 L 0 l 0 Z W 0 + P E l 0 Z W 0 + P E l 0 Z W 1 M b 2 N h d G l v b j 4 8 S X R l b V R 5 c G U + R m 9 y b X V s Y T w v S X R l b V R 5 c G U + P E l 0 Z W 1 Q Y X R o P l N l Y 3 R p b 2 4 x L 0 t E T C 9 W b 2 9 y d 2 F h c m R l b G l q a 2 U l M j B r b 2 x v b S U y M G l u Z 2 V 2 b 2 V n Z D I 4 P C 9 J d G V t U G F 0 a D 4 8 L 0 l 0 Z W 1 M b 2 N h d G l v b j 4 8 U 3 R h Y m x l R W 5 0 c m l l c y A v P j w v S X R l b T 4 8 S X R l b T 4 8 S X R l b U x v Y 2 F 0 a W 9 u P j x J d G V t V H l w Z T 5 G b 3 J t d W x h P C 9 J d G V t V H l w Z T 4 8 S X R l b V B h d G g + U 2 V j d G l v b j E v S 0 R M L 1 Z v b 3 J 3 Y W F y Z G V s a W p r Z S U y M G t v b G 9 t J T I w a W 5 n Z X Z v Z W d k M j k 8 L 0 l 0 Z W 1 Q Y X R o P j w v S X R l b U x v Y 2 F 0 a W 9 u P j x T d G F i b G V F b n R y a W V z I C 8 + P C 9 J d G V t P j x J d G V t P j x J d G V t T G 9 j Y X R p b 2 4 + P E l 0 Z W 1 U e X B l P k Z v c m 1 1 b G E 8 L 0 l 0 Z W 1 U e X B l P j x J d G V t U G F 0 a D 5 T Z W N 0 a W 9 u M S 9 L R E w v Q W F u Z 2 V w Y X N 0 J T I w a X R l b S U y M H R v Z W d l d m 9 l Z 2 Q 1 O D w v S X R l b V B h d G g + P C 9 J d G V t T G 9 j Y X R p b 2 4 + P F N 0 Y W J s Z U V u d H J p Z X M g L z 4 8 L 0 l 0 Z W 0 + P E l 0 Z W 0 + P E l 0 Z W 1 M b 2 N h d G l v b j 4 8 S X R l b V R 5 c G U + R m 9 y b X V s Y T w v S X R l b V R 5 c G U + P E l 0 Z W 1 Q Y X R o P l N l Y 3 R p b 2 4 x L 0 t E T C 9 B Y W 5 n Z X B h c 3 Q l M j B p d G V t J T I w d G 9 l Z 2 V 2 b 2 V n Z D U 5 P C 9 J d G V t U G F 0 a D 4 8 L 0 l 0 Z W 1 M b 2 N h d G l v b j 4 8 U 3 R h Y m x l R W 5 0 c m l l c y A v P j w v S X R l b T 4 8 S X R l b T 4 8 S X R l b U x v Y 2 F 0 a W 9 u P j x J d G V t V H l w Z T 5 G b 3 J t d W x h P C 9 J d G V t V H l w Z T 4 8 S X R l b V B h d G g + U 2 V j d G l v b j E v S 0 R M L 0 F h b m d l c G F z d C U y M G l 0 Z W 0 l M j B 0 b 2 V n Z X Z v Z W d k N j A 8 L 0 l 0 Z W 1 Q Y X R o P j w v S X R l b U x v Y 2 F 0 a W 9 u P j x T d G F i b G V F b n R y a W V z I C 8 + P C 9 J d G V t P j x J d G V t P j x J d G V t T G 9 j Y X R p b 2 4 + P E l 0 Z W 1 U e X B l P k Z v c m 1 1 b G E 8 L 0 l 0 Z W 1 U e X B l P j x J d G V t U G F 0 a D 5 T Z W N 0 a W 9 u M S 9 L R E w v Q W F u Z 2 V w Y X N 0 J T I w a X R l b S U y M H R v Z W d l d m 9 l Z 2 Q 2 M T w v S X R l b V B h d G g + P C 9 J d G V t T G 9 j Y X R p b 2 4 + P F N 0 Y W J s Z U V u d H J p Z X M g L z 4 8 L 0 l 0 Z W 0 + P E l 0 Z W 0 + P E l 0 Z W 1 M b 2 N h d G l v b j 4 8 S X R l b V R 5 c G U + R m 9 y b X V s Y T w v S X R l b V R 5 c G U + P E l 0 Z W 1 Q Y X R o P l N l Y 3 R p b 2 4 x L 0 t E T C 9 B Y W 5 n Z X B h c 3 Q l M j B p d G V t J T I w d G 9 l Z 2 V 2 b 2 V n Z D Y y P C 9 J d G V t U G F 0 a D 4 8 L 0 l 0 Z W 1 M b 2 N h d G l v b j 4 8 U 3 R h Y m x l R W 5 0 c m l l c y A v P j w v S X R l b T 4 8 S X R l b T 4 8 S X R l b U x v Y 2 F 0 a W 9 u P j x J d G V t V H l w Z T 5 G b 3 J t d W x h P C 9 J d G V t V H l w Z T 4 8 S X R l b V B h d G g + U 2 V j d G l v b j E v S 0 R S d k 5 C L 1 Z v b 3 J 3 Y W F y Z G V s a W p r Z S U y M G t v b G 9 t J T I w a W 5 n Z X Z v Z W d k M j A 8 L 0 l 0 Z W 1 Q Y X R o P j w v S X R l b U x v Y 2 F 0 a W 9 u P j x T d G F i b G V F b n R y a W V z I C 8 + P C 9 J d G V t P j x J d G V t P j x J d G V t T G 9 j Y X R p b 2 4 + P E l 0 Z W 1 U e X B l P k Z v c m 1 1 b G E 8 L 0 l 0 Z W 1 U e X B l P j x J d G V t U G F 0 a D 5 T Z W N 0 a W 9 u M S 9 L R F J 2 T k I v V m 9 v c n d h Y X J k Z W x p a m t l J T I w a 2 9 s b 2 0 l M j B p b m d l d m 9 l Z 2 Q y M T w v S X R l b V B h d G g + P C 9 J d G V t T G 9 j Y X R p b 2 4 + P F N 0 Y W J s Z U V u d H J p Z X M g L z 4 8 L 0 l 0 Z W 0 + P E l 0 Z W 0 + P E l 0 Z W 1 M b 2 N h d G l v b j 4 8 S X R l b V R 5 c G U + R m 9 y b X V s Y T w v S X R l b V R 5 c G U + P E l 0 Z W 1 Q Y X R o P l N l Y 3 R p b 2 4 x L 0 t E U n Z O Q i 9 W b 2 9 y d 2 F h c m R l b G l q a 2 U l M j B r b 2 x v b S U y M G l u Z 2 V 2 b 2 V n Z D I y P C 9 J d G V t U G F 0 a D 4 8 L 0 l 0 Z W 1 M b 2 N h d G l v b j 4 8 U 3 R h Y m x l R W 5 0 c m l l c y A v P j w v S X R l b T 4 8 S X R l b T 4 8 S X R l b U x v Y 2 F 0 a W 9 u P j x J d G V t V H l w Z T 5 G b 3 J t d W x h P C 9 J d G V t V H l w Z T 4 8 S X R l b V B h d G g + U 2 V j d G l v b j E v S 0 R S d k 5 C L 0 F h b m d l c G F z d C U y M G l 0 Z W 0 l M j B 0 b 2 V n Z X Z v Z W d k M j M 8 L 0 l 0 Z W 1 Q Y X R o P j w v S X R l b U x v Y 2 F 0 a W 9 u P j x T d G F i b G V F b n R y a W V z I C 8 + P C 9 J d G V t P j x J d G V t P j x J d G V t T G 9 j Y X R p b 2 4 + P E l 0 Z W 1 U e X B l P k Z v c m 1 1 b G E 8 L 0 l 0 Z W 1 U e X B l P j x J d G V t U G F 0 a D 5 T Z W N 0 a W 9 u M S 9 L R F J 2 T k I v V m 9 v c n d h Y X J k Z W x p a m t l J T I w a 2 9 s b 2 0 l M j B p b m d l d m 9 l Z 2 Q y M z w v S X R l b V B h d G g + P C 9 J d G V t T G 9 j Y X R p b 2 4 + P F N 0 Y W J s Z U V u d H J p Z X M g L z 4 8 L 0 l 0 Z W 0 + P E l 0 Z W 0 + P E l 0 Z W 1 M b 2 N h d G l v b j 4 8 S X R l b V R 5 c G U + R m 9 y b X V s Y T w v S X R l b V R 5 c G U + P E l 0 Z W 1 Q Y X R o P l N l Y 3 R p b 2 4 x L 0 t E U n Z O Q i 9 B Y W 5 n Z X B h c 3 Q l M j B p d G V t J T I w d G 9 l Z 2 V 2 b 2 V n Z D I 0 P C 9 J d G V t U G F 0 a D 4 8 L 0 l 0 Z W 1 M b 2 N h d G l v b j 4 8 U 3 R h Y m x l R W 5 0 c m l l c y A v P j w v S X R l b T 4 8 S X R l b T 4 8 S X R l b U x v Y 2 F 0 a W 9 u P j x J d G V t V H l w Z T 5 G b 3 J t d W x h P C 9 J d G V t V H l w Z T 4 8 S X R l b V B h d G g + U 2 V j d G l v b j E v S 0 R S d k 5 C L 1 Z v b 3 J 3 Y W F y Z G V s a W p r Z S U y M G t v b G 9 t J T I w a W 5 n Z X Z v Z W d k M j Q 8 L 0 l 0 Z W 1 Q Y X R o P j w v S X R l b U x v Y 2 F 0 a W 9 u P j x T d G F i b G V F b n R y a W V z I C 8 + P C 9 J d G V t P j x J d G V t P j x J d G V t T G 9 j Y X R p b 2 4 + P E l 0 Z W 1 U e X B l P k Z v c m 1 1 b G E 8 L 0 l 0 Z W 1 U e X B l P j x J d G V t U G F 0 a D 5 T Z W N 0 a W 9 u M S 9 L R F J 2 T k I v Q W F u Z 2 V w Y X N 0 J T I w a X R l b S U y M H R v Z W d l d m 9 l Z 2 Q y N T w v S X R l b V B h d G g + P C 9 J d G V t T G 9 j Y X R p b 2 4 + P F N 0 Y W J s Z U V u d H J p Z X M g L z 4 8 L 0 l 0 Z W 0 + P E l 0 Z W 0 + P E l 0 Z W 1 M b 2 N h d G l v b j 4 8 S X R l b V R 5 c G U + R m 9 y b X V s Y T w v S X R l b V R 5 c G U + P E l 0 Z W 1 Q Y X R o P l N l Y 3 R p b 2 4 x L 0 t E U n Z O Q i 9 W b 2 9 y d 2 F h c m R l b G l q a 2 U l M j B r b 2 x v b S U y M G l u Z 2 V 2 b 2 V n Z D I 1 P C 9 J d G V t U G F 0 a D 4 8 L 0 l 0 Z W 1 M b 2 N h d G l v b j 4 8 U 3 R h Y m x l R W 5 0 c m l l c y A v P j w v S X R l b T 4 8 S X R l b T 4 8 S X R l b U x v Y 2 F 0 a W 9 u P j x J d G V t V H l w Z T 5 G b 3 J t d W x h P C 9 J d G V t V H l w Z T 4 8 S X R l b V B h d G g + U 2 V j d G l v b j E v S 0 R S d k 5 C L 0 F h b m d l c G F z d C U y M G l 0 Z W 0 l M j B 0 b 2 V n Z X Z v Z W d k M j Y 8 L 0 l 0 Z W 1 Q Y X R o P j w v S X R l b U x v Y 2 F 0 a W 9 u P j x T d G F i b G V F b n R y a W V z I C 8 + P C 9 J d G V t P j x J d G V t P j x J d G V t T G 9 j Y X R p b 2 4 + P E l 0 Z W 1 U e X B l P k Z v c m 1 1 b G E 8 L 0 l 0 Z W 1 U e X B l P j x J d G V t U G F 0 a D 5 T Z W N 0 a W 9 u M S 9 L R F J 2 T k I v V m 9 v c n d h Y X J k Z W x p a m t l J T I w a 2 9 s b 2 0 l M j B p b m d l d m 9 l Z 2 Q y N j w v S X R l b V B h d G g + P C 9 J d G V t T G 9 j Y X R p b 2 4 + P F N 0 Y W J s Z U V u d H J p Z X M g L z 4 8 L 0 l 0 Z W 0 + P E l 0 Z W 0 + P E l 0 Z W 1 M b 2 N h d G l v b j 4 8 S X R l b V R 5 c G U + R m 9 y b X V s Y T w v S X R l b V R 5 c G U + P E l 0 Z W 1 Q Y X R o P l N l Y 3 R p b 2 4 x L 0 t E U n Z O Q i 9 B Y W 5 n Z X B h c 3 Q l M j B p d G V t J T I w d G 9 l Z 2 V 2 b 2 V n Z D I 3 P C 9 J d G V t U G F 0 a D 4 8 L 0 l 0 Z W 1 M b 2 N h d G l v b j 4 8 U 3 R h Y m x l R W 5 0 c m l l c y A v P j w v S X R l b T 4 8 S X R l b T 4 8 S X R l b U x v Y 2 F 0 a W 9 u P j x J d G V t V H l w Z T 5 G b 3 J t d W x h P C 9 J d G V t V H l w Z T 4 8 S X R l b V B h d G g + U 2 V j d G l v b j E v S 0 R S d k 5 C L 1 Z v b 3 J 3 Y W F y Z G V s a W p r Z S U y M G t v b G 9 t J T I w a W 5 n Z X Z v Z W d k M j c 8 L 0 l 0 Z W 1 Q Y X R o P j w v S X R l b U x v Y 2 F 0 a W 9 u P j x T d G F i b G V F b n R y a W V z I C 8 + P C 9 J d G V t P j x J d G V t P j x J d G V t T G 9 j Y X R p b 2 4 + P E l 0 Z W 1 U e X B l P k Z v c m 1 1 b G E 8 L 0 l 0 Z W 1 U e X B l P j x J d G V t U G F 0 a D 5 T Z W N 0 a W 9 u M S 9 L R F J 2 T k I v V m 9 v c n d h Y X J k Z W x p a m t l J T I w a 2 9 s b 2 0 l M j B p b m d l d m 9 l Z 2 Q y O D w v S X R l b V B h d G g + P C 9 J d G V t T G 9 j Y X R p b 2 4 + P F N 0 Y W J s Z U V u d H J p Z X M g L z 4 8 L 0 l 0 Z W 0 + P E l 0 Z W 0 + P E l 0 Z W 1 M b 2 N h d G l v b j 4 8 S X R l b V R 5 c G U + R m 9 y b X V s Y T w v S X R l b V R 5 c G U + P E l 0 Z W 1 Q Y X R o P l N l Y 3 R p b 2 4 x L 0 t E U n Z O Q i 9 W b 2 9 y d 2 F h c m R l b G l q a 2 U l M j B r b 2 x v b S U y M G l u Z 2 V 2 b 2 V n Z D I 5 P C 9 J d G V t U G F 0 a D 4 8 L 0 l 0 Z W 1 M b 2 N h d G l v b j 4 8 U 3 R h Y m x l R W 5 0 c m l l c y A v P j w v S X R l b T 4 8 S X R l b T 4 8 S X R l b U x v Y 2 F 0 a W 9 u P j x J d G V t V H l w Z T 5 G b 3 J t d W x h P C 9 J d G V t V H l w Z T 4 8 S X R l b V B h d G g + U 2 V j d G l v b j E v S 0 R S d k 5 C L 0 F h b m d l c G F z d C U y M G l 0 Z W 0 l M j B 0 b 2 V n Z X Z v Z W d k N T g 8 L 0 l 0 Z W 1 Q Y X R o P j w v S X R l b U x v Y 2 F 0 a W 9 u P j x T d G F i b G V F b n R y a W V z I C 8 + P C 9 J d G V t P j x J d G V t P j x J d G V t T G 9 j Y X R p b 2 4 + P E l 0 Z W 1 U e X B l P k Z v c m 1 1 b G E 8 L 0 l 0 Z W 1 U e X B l P j x J d G V t U G F 0 a D 5 T Z W N 0 a W 9 u M S 9 L R F J 2 T k I v Q W F u Z 2 V w Y X N 0 J T I w a X R l b S U y M H R v Z W d l d m 9 l Z 2 Q 1 O T w v S X R l b V B h d G g + P C 9 J d G V t T G 9 j Y X R p b 2 4 + P F N 0 Y W J s Z U V u d H J p Z X M g L z 4 8 L 0 l 0 Z W 0 + P E l 0 Z W 0 + P E l 0 Z W 1 M b 2 N h d G l v b j 4 8 S X R l b V R 5 c G U + R m 9 y b X V s Y T w v S X R l b V R 5 c G U + P E l 0 Z W 1 Q Y X R o P l N l Y 3 R p b 2 4 x L 0 t E U n Z O Q i 9 B Y W 5 n Z X B h c 3 Q l M j B p d G V t J T I w d G 9 l Z 2 V 2 b 2 V n Z D Y w P C 9 J d G V t U G F 0 a D 4 8 L 0 l 0 Z W 1 M b 2 N h d G l v b j 4 8 U 3 R h Y m x l R W 5 0 c m l l c y A v P j w v S X R l b T 4 8 S X R l b T 4 8 S X R l b U x v Y 2 F 0 a W 9 u P j x J d G V t V H l w Z T 5 G b 3 J t d W x h P C 9 J d G V t V H l w Z T 4 8 S X R l b V B h d G g + U 2 V j d G l v b j E v S 0 R S d k 5 C L 0 F h b m d l c G F z d C U y M G l 0 Z W 0 l M j B 0 b 2 V n Z X Z v Z W d k N j E 8 L 0 l 0 Z W 1 Q Y X R o P j w v S X R l b U x v Y 2 F 0 a W 9 u P j x T d G F i b G V F b n R y a W V z I C 8 + P C 9 J d G V t P j x J d G V t P j x J d G V t T G 9 j Y X R p b 2 4 + P E l 0 Z W 1 U e X B l P k Z v c m 1 1 b G E 8 L 0 l 0 Z W 1 U e X B l P j x J d G V t U G F 0 a D 5 T Z W N 0 a W 9 u M S 9 L R F J 2 T k I v Q W F u Z 2 V w Y X N 0 J T I w a X R l b S U y M H R v Z W d l d m 9 l Z 2 Q 2 M j w v S X R l b V B h d G g + P C 9 J d G V t T G 9 j Y X R p b 2 4 + P F N 0 Y W J s Z U V u d H J p Z X M g L z 4 8 L 0 l 0 Z W 0 + P E l 0 Z W 0 + P E l 0 Z W 1 M b 2 N h d G l v b j 4 8 S X R l b V R 5 c G U + R m 9 y b X V s Y T w v S X R l b V R 5 c G U + P E l 0 Z W 1 Q Y X R o P l N l Y 3 R p b 2 4 x L 0 Z T R C 9 W b 2 9 y d 2 F h c m R l b G l q a 2 U l M j B r b 2 x v b S U y M G l u Z 2 V 2 b 2 V n Z D I w P C 9 J d G V t U G F 0 a D 4 8 L 0 l 0 Z W 1 M b 2 N h d G l v b j 4 8 U 3 R h Y m x l R W 5 0 c m l l c y A v P j w v S X R l b T 4 8 S X R l b T 4 8 S X R l b U x v Y 2 F 0 a W 9 u P j x J d G V t V H l w Z T 5 G b 3 J t d W x h P C 9 J d G V t V H l w Z T 4 8 S X R l b V B h d G g + U 2 V j d G l v b j E v R l N E L 1 Z v b 3 J 3 Y W F y Z G V s a W p r Z S U y M G t v b G 9 t J T I w a W 5 n Z X Z v Z W d k M j E 8 L 0 l 0 Z W 1 Q Y X R o P j w v S X R l b U x v Y 2 F 0 a W 9 u P j x T d G F i b G V F b n R y a W V z I C 8 + P C 9 J d G V t P j x J d G V t P j x J d G V t T G 9 j Y X R p b 2 4 + P E l 0 Z W 1 U e X B l P k Z v c m 1 1 b G E 8 L 0 l 0 Z W 1 U e X B l P j x J d G V t U G F 0 a D 5 T Z W N 0 a W 9 u M S 9 G U 0 Q v V m 9 v c n d h Y X J k Z W x p a m t l J T I w a 2 9 s b 2 0 l M j B p b m d l d m 9 l Z 2 Q y M j w v S X R l b V B h d G g + P C 9 J d G V t T G 9 j Y X R p b 2 4 + P F N 0 Y W J s Z U V u d H J p Z X M g L z 4 8 L 0 l 0 Z W 0 + P E l 0 Z W 0 + P E l 0 Z W 1 M b 2 N h d G l v b j 4 8 S X R l b V R 5 c G U + R m 9 y b X V s Y T w v S X R l b V R 5 c G U + P E l 0 Z W 1 Q Y X R o P l N l Y 3 R p b 2 4 x L 0 Z T R C 9 B Y W 5 n Z X B h c 3 Q l M j B p d G V t J T I w d G 9 l Z 2 V 2 b 2 V n Z D I z P C 9 J d G V t U G F 0 a D 4 8 L 0 l 0 Z W 1 M b 2 N h d G l v b j 4 8 U 3 R h Y m x l R W 5 0 c m l l c y A v P j w v S X R l b T 4 8 S X R l b T 4 8 S X R l b U x v Y 2 F 0 a W 9 u P j x J d G V t V H l w Z T 5 G b 3 J t d W x h P C 9 J d G V t V H l w Z T 4 8 S X R l b V B h d G g + U 2 V j d G l v b j E v R l N E L 1 Z v b 3 J 3 Y W F y Z G V s a W p r Z S U y M G t v b G 9 t J T I w a W 5 n Z X Z v Z W d k M j M 8 L 0 l 0 Z W 1 Q Y X R o P j w v S X R l b U x v Y 2 F 0 a W 9 u P j x T d G F i b G V F b n R y a W V z I C 8 + P C 9 J d G V t P j x J d G V t P j x J d G V t T G 9 j Y X R p b 2 4 + P E l 0 Z W 1 U e X B l P k Z v c m 1 1 b G E 8 L 0 l 0 Z W 1 U e X B l P j x J d G V t U G F 0 a D 5 T Z W N 0 a W 9 u M S 9 G U 0 Q v Q W F u Z 2 V w Y X N 0 J T I w a X R l b S U y M H R v Z W d l d m 9 l Z 2 Q y N D w v S X R l b V B h d G g + P C 9 J d G V t T G 9 j Y X R p b 2 4 + P F N 0 Y W J s Z U V u d H J p Z X M g L z 4 8 L 0 l 0 Z W 0 + P E l 0 Z W 0 + P E l 0 Z W 1 M b 2 N h d G l v b j 4 8 S X R l b V R 5 c G U + R m 9 y b X V s Y T w v S X R l b V R 5 c G U + P E l 0 Z W 1 Q Y X R o P l N l Y 3 R p b 2 4 x L 0 Z T R C 9 W b 2 9 y d 2 F h c m R l b G l q a 2 U l M j B r b 2 x v b S U y M G l u Z 2 V 2 b 2 V n Z D I 0 P C 9 J d G V t U G F 0 a D 4 8 L 0 l 0 Z W 1 M b 2 N h d G l v b j 4 8 U 3 R h Y m x l R W 5 0 c m l l c y A v P j w v S X R l b T 4 8 S X R l b T 4 8 S X R l b U x v Y 2 F 0 a W 9 u P j x J d G V t V H l w Z T 5 G b 3 J t d W x h P C 9 J d G V t V H l w Z T 4 8 S X R l b V B h d G g + U 2 V j d G l v b j E v R l N E L 0 F h b m d l c G F z d C U y M G l 0 Z W 0 l M j B 0 b 2 V n Z X Z v Z W d k M j U 8 L 0 l 0 Z W 1 Q Y X R o P j w v S X R l b U x v Y 2 F 0 a W 9 u P j x T d G F i b G V F b n R y a W V z I C 8 + P C 9 J d G V t P j x J d G V t P j x J d G V t T G 9 j Y X R p b 2 4 + P E l 0 Z W 1 U e X B l P k Z v c m 1 1 b G E 8 L 0 l 0 Z W 1 U e X B l P j x J d G V t U G F 0 a D 5 T Z W N 0 a W 9 u M S 9 G U 0 Q v V m 9 v c n d h Y X J k Z W x p a m t l J T I w a 2 9 s b 2 0 l M j B p b m d l d m 9 l Z 2 Q y N T w v S X R l b V B h d G g + P C 9 J d G V t T G 9 j Y X R p b 2 4 + P F N 0 Y W J s Z U V u d H J p Z X M g L z 4 8 L 0 l 0 Z W 0 + P E l 0 Z W 0 + P E l 0 Z W 1 M b 2 N h d G l v b j 4 8 S X R l b V R 5 c G U + R m 9 y b X V s Y T w v S X R l b V R 5 c G U + P E l 0 Z W 1 Q Y X R o P l N l Y 3 R p b 2 4 x L 0 Z T R C 9 B Y W 5 n Z X B h c 3 Q l M j B p d G V t J T I w d G 9 l Z 2 V 2 b 2 V n Z D I 2 P C 9 J d G V t U G F 0 a D 4 8 L 0 l 0 Z W 1 M b 2 N h d G l v b j 4 8 U 3 R h Y m x l R W 5 0 c m l l c y A v P j w v S X R l b T 4 8 S X R l b T 4 8 S X R l b U x v Y 2 F 0 a W 9 u P j x J d G V t V H l w Z T 5 G b 3 J t d W x h P C 9 J d G V t V H l w Z T 4 8 S X R l b V B h d G g + U 2 V j d G l v b j E v R l N E L 1 Z v b 3 J 3 Y W F y Z G V s a W p r Z S U y M G t v b G 9 t J T I w a W 5 n Z X Z v Z W d k M j Y 8 L 0 l 0 Z W 1 Q Y X R o P j w v S X R l b U x v Y 2 F 0 a W 9 u P j x T d G F i b G V F b n R y a W V z I C 8 + P C 9 J d G V t P j x J d G V t P j x J d G V t T G 9 j Y X R p b 2 4 + P E l 0 Z W 1 U e X B l P k Z v c m 1 1 b G E 8 L 0 l 0 Z W 1 U e X B l P j x J d G V t U G F 0 a D 5 T Z W N 0 a W 9 u M S 9 G U 0 Q v Q W F u Z 2 V w Y X N 0 J T I w a X R l b S U y M H R v Z W d l d m 9 l Z 2 Q y N z w v S X R l b V B h d G g + P C 9 J d G V t T G 9 j Y X R p b 2 4 + P F N 0 Y W J s Z U V u d H J p Z X M g L z 4 8 L 0 l 0 Z W 0 + P E l 0 Z W 0 + P E l 0 Z W 1 M b 2 N h d G l v b j 4 8 S X R l b V R 5 c G U + R m 9 y b X V s Y T w v S X R l b V R 5 c G U + P E l 0 Z W 1 Q Y X R o P l N l Y 3 R p b 2 4 x L 0 Z T R C 9 W b 2 9 y d 2 F h c m R l b G l q a 2 U l M j B r b 2 x v b S U y M G l u Z 2 V 2 b 2 V n Z D I 3 P C 9 J d G V t U G F 0 a D 4 8 L 0 l 0 Z W 1 M b 2 N h d G l v b j 4 8 U 3 R h Y m x l R W 5 0 c m l l c y A v P j w v S X R l b T 4 8 S X R l b T 4 8 S X R l b U x v Y 2 F 0 a W 9 u P j x J d G V t V H l w Z T 5 G b 3 J t d W x h P C 9 J d G V t V H l w Z T 4 8 S X R l b V B h d G g + U 2 V j d G l v b j E v R l N E L 1 Z v b 3 J 3 Y W F y Z G V s a W p r Z S U y M G t v b G 9 t J T I w a W 5 n Z X Z v Z W d k M j g 8 L 0 l 0 Z W 1 Q Y X R o P j w v S X R l b U x v Y 2 F 0 a W 9 u P j x T d G F i b G V F b n R y a W V z I C 8 + P C 9 J d G V t P j x J d G V t P j x J d G V t T G 9 j Y X R p b 2 4 + P E l 0 Z W 1 U e X B l P k Z v c m 1 1 b G E 8 L 0 l 0 Z W 1 U e X B l P j x J d G V t U G F 0 a D 5 T Z W N 0 a W 9 u M S 9 G U 0 Q v V m 9 v c n d h Y X J k Z W x p a m t l J T I w a 2 9 s b 2 0 l M j B p b m d l d m 9 l Z 2 Q y O T w v S X R l b V B h d G g + P C 9 J d G V t T G 9 j Y X R p b 2 4 + P F N 0 Y W J s Z U V u d H J p Z X M g L z 4 8 L 0 l 0 Z W 0 + P E l 0 Z W 0 + P E l 0 Z W 1 M b 2 N h d G l v b j 4 8 S X R l b V R 5 c G U + R m 9 y b X V s Y T w v S X R l b V R 5 c G U + P E l 0 Z W 1 Q Y X R o P l N l Y 3 R p b 2 4 x L 0 Z T R C 9 B Y W 5 n Z X B h c 3 Q l M j B p d G V t J T I w d G 9 l Z 2 V 2 b 2 V n Z D U 4 P C 9 J d G V t U G F 0 a D 4 8 L 0 l 0 Z W 1 M b 2 N h d G l v b j 4 8 U 3 R h Y m x l R W 5 0 c m l l c y A v P j w v S X R l b T 4 8 S X R l b T 4 8 S X R l b U x v Y 2 F 0 a W 9 u P j x J d G V t V H l w Z T 5 G b 3 J t d W x h P C 9 J d G V t V H l w Z T 4 8 S X R l b V B h d G g + U 2 V j d G l v b j E v R l N E L 0 F h b m d l c G F z d C U y M G l 0 Z W 0 l M j B 0 b 2 V n Z X Z v Z W d k N T k 8 L 0 l 0 Z W 1 Q Y X R o P j w v S X R l b U x v Y 2 F 0 a W 9 u P j x T d G F i b G V F b n R y a W V z I C 8 + P C 9 J d G V t P j x J d G V t P j x J d G V t T G 9 j Y X R p b 2 4 + P E l 0 Z W 1 U e X B l P k Z v c m 1 1 b G E 8 L 0 l 0 Z W 1 U e X B l P j x J d G V t U G F 0 a D 5 T Z W N 0 a W 9 u M S 9 G U 0 Q v Q W F u Z 2 V w Y X N 0 J T I w a X R l b S U y M H R v Z W d l d m 9 l Z 2 Q 2 M D w v S X R l b V B h d G g + P C 9 J d G V t T G 9 j Y X R p b 2 4 + P F N 0 Y W J s Z U V u d H J p Z X M g L z 4 8 L 0 l 0 Z W 0 + P E l 0 Z W 0 + P E l 0 Z W 1 M b 2 N h d G l v b j 4 8 S X R l b V R 5 c G U + R m 9 y b X V s Y T w v S X R l b V R 5 c G U + P E l 0 Z W 1 Q Y X R o P l N l Y 3 R p b 2 4 x L 0 Z T R C 9 B Y W 5 n Z X B h c 3 Q l M j B p d G V t J T I w d G 9 l Z 2 V 2 b 2 V n Z D Y x P C 9 J d G V t U G F 0 a D 4 8 L 0 l 0 Z W 1 M b 2 N h d G l v b j 4 8 U 3 R h Y m x l R W 5 0 c m l l c y A v P j w v S X R l b T 4 8 S X R l b T 4 8 S X R l b U x v Y 2 F 0 a W 9 u P j x J d G V t V H l w Z T 5 G b 3 J t d W x h P C 9 J d G V t V H l w Z T 4 8 S X R l b V B h d G g + U 2 V j d G l v b j E v R l N E L 0 F h b m d l c G F z d C U y M G l 0 Z W 0 l M j B 0 b 2 V n Z X Z v Z W d k N j I 8 L 0 l 0 Z W 1 Q Y X R o P j w v S X R l b U x v Y 2 F 0 a W 9 u P j x T d G F i b G V F b n R y a W V z I C 8 + P C 9 J d G V t P j x J d G V t P j x J d G V t T G 9 j Y X R p b 2 4 + P E l 0 Z W 1 U e X B l P k Z v c m 1 1 b G E 8 L 0 l 0 Z W 1 U e X B l P j x J d G V t U G F 0 a D 5 T Z W N 0 a W 9 u M S 9 L R E E 8 L 0 l 0 Z W 1 Q Y X R o P j w v S X R l b U x v Y 2 F 0 a W 9 u P j x T d G F i b G V F b n R y a W V z P j x F b n R y e S B U e X B l P S J J c 1 B y a X Z h d G U i I F Z h b H V l P S J s M C I g L z 4 8 R W 5 0 c n k g V H l w Z T 0 i T G 9 h Z F R v U m V w b 3 J 0 R G l z Y W J s Z W Q i I F Z h b H V l P S J s M C I g L z 4 8 R W 5 0 c n k g V H l w Z T 0 i R m l s b E V u Y W J s Z W Q i I F Z h b H V l P S J s M S I g L z 4 8 R W 5 0 c n k g V H l w Z T 0 i R m l s b E 9 i a m V j d F R 5 c G U i I F Z h b H V l P S J z V G F i b G U i I C 8 + P E V u d H J 5 I F R 5 c G U 9 I k Z p b G x U b 0 R h d G F N b 2 R l b E V u Y W J s Z W Q i I F Z h b H V l P S J s M C I g L z 4 8 R W 5 0 c n k g V H l w Z T 0 i U X V l c n l J R C I g V m F s d W U 9 I n M 3 Z W E w Y m U z Y S 0 0 N 2 U 3 L T Q x N G M t Y T l i Z i 1 i Y z U 2 Z T A 2 N z V j Y j I i I C 8 + P E V u d H J 5 I F R 5 c G U 9 I k 5 h b W V V c G R h d G V k Q W Z 0 Z X J G a W x s I i B W Y W x 1 Z T 0 i b D A i I C 8 + P E V u d H J 5 I F R 5 c G U 9 I l J l c 3 V s d F R 5 c G U i I F Z h b H V l P S J z V G F i b G U i I C 8 + P E V u d H J 5 I F R 5 c G U 9 I k Z p b G x U Y X J n Z X Q i I F Z h b H V l P S J z S 0 R B X y I g L z 4 8 R W 5 0 c n k g V H l w Z T 0 i R m l s b G V k Q 2 9 t c G x l d G V S Z X N 1 b H R U b 1 d v c m t z a G V l d C I g V m F s d W U 9 I m w x I i A v P j x F b n R y e S B U e X B l P S J C d W Z m Z X J O Z X h 0 U m V m c m V z a C I g V m F s d W U 9 I m w x I i A v P j x F b n R y e S B U e X B l P S J G a W x s T G F z d F V w Z G F 0 Z W Q i I F Z h b H V l P S J k M j A y N i 0 w M S 0 w M V Q w O T o z M D o 0 M C 4 y M T k 2 M z A w W i I g L z 4 8 R W 5 0 c n k g V H l w Z T 0 i R m l s b E N v b H V t b l R 5 c G V z I i B W Y W x 1 Z T 0 i c 0 J n W U d C Z 1 l H Q m d Z R E F 3 T U R B d 0 1 E Q X d N R E F 3 T U d B d 0 1 E Q X d N R E F 3 W U R B d 0 1 E Q X d N R E J n W U d C Z 2 N I Q m d Z R 0 J n W U d B d 1 l H Q m d Z P S I g L z 4 8 R W 5 0 c n k g V H l w Z T 0 i R m l s b E V y c m 9 y Q 2 9 1 b n Q i I F Z h b H V l P S J s M C I g L z 4 8 R W 5 0 c n k g V H l w Z T 0 i R m l s b E N v b H V t b k 5 h b W V z I i B W Y W x 1 Z T 0 i c 1 s m c X V v d D t L c m l u Z 2 R h Z y Z x d W 9 0 O y w m c X V v d D t W Z X I u b n I u J n F 1 b 3 Q 7 L C Z x d W 9 0 O 0 5 h Y W 0 g d m V y Z W 5 p Z 2 l u Z y Z x d W 9 0 O y w m c X V v d D t E Z W x l Z 2 F 0 a W U m c X V v d D s s J n F 1 b 3 Q 7 T X V 6 a W V r a 2 9 y c H M g d G l q Z G V u c y B t Y X J z I G V u I G R l Z m l s X H U w M E U 5 J n F 1 b 3 Q 7 L C Z x d W 9 0 O 0 R l Z W x u Y W 1 l I G p l d W d k a 2 9 u a W 5 n c 2 N o a W V 0 Z W 4 m c X V v d D s s J n F 1 b 3 Q 7 T W F q L i B T Z W 5 p b 3 J l b i B q d X J l c m V u I G J p a i B t Y X J z J n F 1 b 3 Q 7 L C Z x d W 9 0 O 0 1 h a i 4 g S m V 1 Z 2 Q g a n V y Z X J l b i B i a W o g b W F y c y Z x d W 9 0 O y w m c X V v d D t L b 3 J w c y B z Z W 5 p b 3 J l b i Z x d W 9 0 O y w m c X V v d D t K d W 5 p b 3 J l b i B r b 3 J w c y A x J n F 1 b 3 Q 7 L C Z x d W 9 0 O 0 p 1 b m l v c m V u I G t v c n B z I D I m c X V v d D s s J n F 1 b 3 Q 7 Q X N w a X J h b n R l b i B r b 3 J w c y A x J n F 1 b 3 Q 7 L C Z x d W 9 0 O 0 F z c G l y Y W 5 0 Z W 4 g a 2 9 y c H M g M i Z x d W 9 0 O y w m c X V v d D t B Y 3 J v Y m F 0 a X N j a C B z Z W 5 p b 3 J l b i Z x d W 9 0 O y w m c X V v d D t B Y 3 J v Y m F 0 a X N j a C B q d W 5 p b 3 J l b i Z x d W 9 0 O y w m c X V v d D t B Y 3 J v Y m F 0 a X N j a C B h c 3 B p c m F u d G V u J n F 1 b 3 Q 7 L C Z x d W 9 0 O 0 9 w Z 2 V 2 Z W 4 g d m V u Z G V s a W V y c y B p b m Q u J n F 1 b 3 Q 7 L C Z x d W 9 0 O 0 F j c m 9 i L i B z Z W 5 p b 3 J l b i B p b m R p d i 4 m c X V v d D s s J n F 1 b 3 Q 7 Q W N y b 2 I u I G p 1 b m l v c m V u I G l u Z G l 2 L i Z x d W 9 0 O y w m c X V v d D t B Y 3 J v Y i 4 g Y X N w a X J h b n R l b i B p b m R p d i 4 m c X V v d D s s J n F 1 b 3 Q 7 R G V l b G 5 h b W U g a G 9 v Z m R r b 3 J w c y Z x d W 9 0 O y w m c X V v d D t H c m 9 l c G V u L C B 0 Z W F t c y w g Z W 5 z Z W 1 i b G V z I G V u I G R 1 b 1 x 1 M D A y N 3 M m c X V v d D s s J n F 1 b 3 Q 7 Q W F u d G F s I G 9 w Z 2 V n Z X Z l b i B t Y W p v c m V 0 d G V z J n F 1 b 3 Q 7 L C Z x d W 9 0 O 0 9 w Z 2 V 2 Z W 4 g Y m l l b G V t Y W 5 u Z W 4 m c X V v d D s s J n F 1 b 3 Q 7 U 2 V u a W 9 y Z W 4 m c X V v d D s s J n F 1 b 3 Q 7 S m 9 u Z y B W b 2 x 3 Y X N z Z W 5 l J n F 1 b 3 Q 7 L C Z x d W 9 0 O 0 p 1 b m l v c m V u J n F 1 b 3 Q 7 L C Z x d W 9 0 O 0 F z c G l y Y W 5 0 Z W 4 m c X V v d D s s J n F 1 b 3 Q 7 R G V l b G 5 h b W U g b W F y a 2 V 0 Z W 5 0 c 3 R l c n M m c X V v d D s s J n F 1 b 3 Q 7 Q W F u d G F s I G x 1 Y 2 h 0 Z 2 V 3 Z W V y c 2 N o d X R 0 Z X J z J n F 1 b 3 Q 7 L C Z x d W 9 0 O 0 F h b n R h b C B s d W N o d H B p c 3 R v b 2 x z Y 2 h 1 d H R l c n M m c X V v d D s s J n F 1 b 3 Q 7 Q W F u d G F s I G h h b m R i b 2 9 n c 2 N o d X R 0 Z X J z J n F 1 b 3 Q 7 L C Z x d W 9 0 O 0 F h b n R h b C B r c n V p c 2 J v b 2 d z Y 2 h 1 d H R l c n M m c X V v d D s s J n F 1 b 3 Q 7 K E F h b n R h b C B q Z X V n Z G t v c n B z Z W 4 m c X V v d D s s J n F 1 b 3 Q 7 V G 9 0 Y W F s I G F h b n R h b C B k Z W V s b m V t Z X J z J n F 1 b 3 Q 7 L C Z x d W 9 0 O 1 d h Y X J 2 Y W 4 g Y W F u d G F s I G p l d W d k I C h 0 L 2 0 g M T U g a m F h c i k m c X V v d D s s J n F 1 b 3 Q 7 S 2 F u b 2 4 g Z X R j L i Z x d W 9 0 O y w m c X V v d D t Q Y W F y Z G V u I G V u L 2 9 m I G t v Z X R z Z W 4 m c X V v d D s s J n F 1 b 3 Q 7 V G 9 l b G l j a H R p b m c v b 3 B t Z X J r a W 5 n Z W 4 m c X V v d D s s J n F 1 b 3 Q 7 S W 5 6 Z W 5 k a W 5 n L U l E J n F 1 b 3 Q 7 L C Z x d W 9 0 O 0 l u e m V u Z G R h d H V t J n F 1 b 3 Q 7 L C Z x d W 9 0 O 0 R h d G U g V X B k Y X R l Z C Z x d W 9 0 O y w m c X V v d D t O Y W F t I H Z h b i B o Z X Q g a G 9 v Z m R r b 3 J w c y Z x d W 9 0 O y w m c X V v d D t a Y W w g b 3 A g d H J l Z G V u I G F s c y A o a G 9 v Z m R r b 3 J w c y k m c X V v d D s s J n F 1 b 3 Q 7 V m 9 y b S B 2 Y W 4 g d H d l Z S B t d X p p Z W t 3 Z X J r Z W 4 g K G h v b 2 Z k a 2 9 y c H M p J n F 1 b 3 Q 7 L C Z x d W 9 0 O 1 p h b C B 1 a X R r b 2 1 l b i B p b i B k Z T o g K G h v b 2 Z k a 2 9 y c H M p J n F 1 b 3 Q 7 L C Z x d W 9 0 O 0 1 1 e m l l a 3 d l c m s x I C h o b 2 9 m Z G t v c n B z K S Z x d W 9 0 O y w m c X V v d D t N d X p p Z W t 3 Z X J r M i A o a G 9 v Z m R r b 3 J w c y k m c X V v d D s s J n F 1 b 3 Q 7 S 2 9 y c H M g Y m V z d G F h d C B 1 a X Q g L i 4 u I G R l Z W x u Z W 1 l c n M g K G h v b 2 Z k a 2 9 y c H M p J n F 1 b 3 Q 7 L C Z x d W 9 0 O 1 d v c m R 0 I G V y I G d l Y n J 1 a W s g Z 2 V t Y W F r d C B 2 Y W 4 g b W V j a G F u a X N j a G U g b X V 6 a W V r P y Z x d W 9 0 O y w m c X V v d D t P b m R l c m R l b G V u J n F 1 b 3 Q 7 L C Z x d W 9 0 O 1 N l Y 3 R p Z X M m c X V v d D s s J n F 1 b 3 Q 7 T G V l Z n R p a m R z Y 2 F 0 Z W d v c m l l J n F 1 b 3 Q 7 X S I g L z 4 8 R W 5 0 c n k g V H l w Z T 0 i R m l s b E V y c m 9 y Q 2 9 k Z S I g V m F s d W U 9 I n N V b m t u b 3 d u I i A v P j x F b n R y e S B U e X B l P S J G a W x s U 3 R h d H V z I i B W Y W x 1 Z T 0 i c 0 N v b X B s Z X R l I i A v P j x F b n R y e S B U e X B l P S J G a W x s Q 2 9 1 b n Q i I F Z h b H V l P S J s M j E i I C 8 + P E V u d H J 5 I F R 5 c G U 9 I l J l b G F 0 a W 9 u c 2 h p c E l u Z m 9 D b 2 5 0 Y W l u Z X I i I F Z h b H V l P S J z e y Z x d W 9 0 O 2 N v b H V t b k N v d W 5 0 J n F 1 b 3 Q 7 O j U z L C Z x d W 9 0 O 2 t l e U N v b H V t b k 5 h b W V z J n F 1 b 3 Q 7 O l t d L C Z x d W 9 0 O 3 F 1 Z X J 5 U m V s Y X R p b 2 5 z a G l w c y Z x d W 9 0 O z p b X S w m c X V v d D t j b 2 x 1 b W 5 J Z G V u d G l 0 a W V z J n F 1 b 3 Q 7 O l s m c X V v d D t T Z W N 0 a W 9 u M S 9 L R E E v Q X V 0 b 1 J l b W 9 2 Z W R D b 2 x 1 b W 5 z M S 5 7 S 3 J p b m d k Y W c s M H 0 m c X V v d D s s J n F 1 b 3 Q 7 U 2 V j d G l v b j E v S 0 R B L 0 F 1 d G 9 S Z W 1 v d m V k Q 2 9 s d W 1 u c z E u e 1 Z l c i 5 u c i 4 s M X 0 m c X V v d D s s J n F 1 b 3 Q 7 U 2 V j d G l v b j E v S 0 R B L 0 F 1 d G 9 S Z W 1 v d m V k Q 2 9 s d W 1 u c z E u e 0 5 h Y W 0 g d m V y Z W 5 p Z 2 l u Z y w y f S Z x d W 9 0 O y w m c X V v d D t T Z W N 0 a W 9 u M S 9 L R E E v Q X V 0 b 1 J l b W 9 2 Z W R D b 2 x 1 b W 5 z M S 5 7 R G V s Z W d h d G l l L D N 9 J n F 1 b 3 Q 7 L C Z x d W 9 0 O 1 N l Y 3 R p b 2 4 x L 0 t E Q S 9 B d X R v U m V t b 3 Z l Z E N v b H V t b n M x L n t N d X p p Z W t r b 3 J w c y B 0 a W p k Z W 5 z I G 1 h c n M g Z W 4 g Z G V m a W x c d T A w R T k s N H 0 m c X V v d D s s J n F 1 b 3 Q 7 U 2 V j d G l v b j E v S 0 R B L 0 F 1 d G 9 S Z W 1 v d m V k Q 2 9 s d W 1 u c z E u e 0 R l Z W x u Y W 1 l I G p l d W d k a 2 9 u a W 5 n c 2 N o a W V 0 Z W 4 s N X 0 m c X V v d D s s J n F 1 b 3 Q 7 U 2 V j d G l v b j E v S 0 R B L 0 F 1 d G 9 S Z W 1 v d m V k Q 2 9 s d W 1 u c z E u e 0 1 h a i 4 g U 2 V u a W 9 y Z W 4 g a n V y Z X J l b i B i a W o g b W F y c y w 2 f S Z x d W 9 0 O y w m c X V v d D t T Z W N 0 a W 9 u M S 9 L R E E v Q X V 0 b 1 J l b W 9 2 Z W R D b 2 x 1 b W 5 z M S 5 7 T W F q L i B K Z X V n Z C B q d X J l c m V u I G J p a i B t Y X J z L D d 9 J n F 1 b 3 Q 7 L C Z x d W 9 0 O 1 N l Y 3 R p b 2 4 x L 0 t E Q S 9 B d X R v U m V t b 3 Z l Z E N v b H V t b n M x L n t L b 3 J w c y B z Z W 5 p b 3 J l b i w 4 f S Z x d W 9 0 O y w m c X V v d D t T Z W N 0 a W 9 u M S 9 L R E E v Q X V 0 b 1 J l b W 9 2 Z W R D b 2 x 1 b W 5 z M S 5 7 S n V u a W 9 y Z W 4 g a 2 9 y c H M g M S w 5 f S Z x d W 9 0 O y w m c X V v d D t T Z W N 0 a W 9 u M S 9 L R E E v Q X V 0 b 1 J l b W 9 2 Z W R D b 2 x 1 b W 5 z M S 5 7 S n V u a W 9 y Z W 4 g a 2 9 y c H M g M i w x M H 0 m c X V v d D s s J n F 1 b 3 Q 7 U 2 V j d G l v b j E v S 0 R B L 0 F 1 d G 9 S Z W 1 v d m V k Q 2 9 s d W 1 u c z E u e 0 F z c G l y Y W 5 0 Z W 4 g a 2 9 y c H M g M S w x M X 0 m c X V v d D s s J n F 1 b 3 Q 7 U 2 V j d G l v b j E v S 0 R B L 0 F 1 d G 9 S Z W 1 v d m V k Q 2 9 s d W 1 u c z E u e 0 F z c G l y Y W 5 0 Z W 4 g a 2 9 y c H M g M i w x M n 0 m c X V v d D s s J n F 1 b 3 Q 7 U 2 V j d G l v b j E v S 0 R B L 0 F 1 d G 9 S Z W 1 v d m V k Q 2 9 s d W 1 u c z E u e 0 F j c m 9 i Y X R p c 2 N o I H N l b m l v c m V u L D E z f S Z x d W 9 0 O y w m c X V v d D t T Z W N 0 a W 9 u M S 9 L R E E v Q X V 0 b 1 J l b W 9 2 Z W R D b 2 x 1 b W 5 z M S 5 7 Q W N y b 2 J h d G l z Y 2 g g a n V u a W 9 y Z W 4 s M T R 9 J n F 1 b 3 Q 7 L C Z x d W 9 0 O 1 N l Y 3 R p b 2 4 x L 0 t E Q S 9 B d X R v U m V t b 3 Z l Z E N v b H V t b n M x L n t B Y 3 J v Y m F 0 a X N j a C B h c 3 B p c m F u d G V u L D E 1 f S Z x d W 9 0 O y w m c X V v d D t T Z W N 0 a W 9 u M S 9 L R E E v Q X V 0 b 1 J l b W 9 2 Z W R D b 2 x 1 b W 5 z M S 5 7 T 3 B n Z X Z l b i B 2 Z W 5 k Z W x p Z X J z I G l u Z C 4 s M T Z 9 J n F 1 b 3 Q 7 L C Z x d W 9 0 O 1 N l Y 3 R p b 2 4 x L 0 t E Q S 9 B d X R v U m V t b 3 Z l Z E N v b H V t b n M x L n t B Y 3 J v Y i 4 g c 2 V u a W 9 y Z W 4 g a W 5 k a X Y u L D E 3 f S Z x d W 9 0 O y w m c X V v d D t T Z W N 0 a W 9 u M S 9 L R E E v Q X V 0 b 1 J l b W 9 2 Z W R D b 2 x 1 b W 5 z M S 5 7 Q W N y b 2 I u I G p 1 b m l v c m V u I G l u Z G l 2 L i w x O H 0 m c X V v d D s s J n F 1 b 3 Q 7 U 2 V j d G l v b j E v S 0 R B L 0 F 1 d G 9 S Z W 1 v d m V k Q 2 9 s d W 1 u c z E u e 0 F j c m 9 i L i B h c 3 B p c m F u d G V u I G l u Z G l 2 L i w x O X 0 m c X V v d D s s J n F 1 b 3 Q 7 U 2 V j d G l v b j E v S 0 R B L 0 F 1 d G 9 S Z W 1 v d m V k Q 2 9 s d W 1 u c z E u e 0 R l Z W x u Y W 1 l I G h v b 2 Z k a 2 9 y c H M s M j B 9 J n F 1 b 3 Q 7 L C Z x d W 9 0 O 1 N l Y 3 R p b 2 4 x L 0 t E Q S 9 B d X R v U m V t b 3 Z l Z E N v b H V t b n M x L n t H c m 9 l c G V u L C B 0 Z W F t c y w g Z W 5 z Z W 1 i b G V z I G V u I G R 1 b 1 x 1 M D A y N 3 M s M j F 9 J n F 1 b 3 Q 7 L C Z x d W 9 0 O 1 N l Y 3 R p b 2 4 x L 0 t E Q S 9 B d X R v U m V t b 3 Z l Z E N v b H V t b n M x L n t B Y W 5 0 Y W w g b 3 B n Z W d l d m V u I G 1 h a m 9 y Z X R 0 Z X M s M j J 9 J n F 1 b 3 Q 7 L C Z x d W 9 0 O 1 N l Y 3 R p b 2 4 x L 0 t E Q S 9 B d X R v U m V t b 3 Z l Z E N v b H V t b n M x L n t P c G d l d m V u I G J p Z W x l b W F u b m V u L D I z f S Z x d W 9 0 O y w m c X V v d D t T Z W N 0 a W 9 u M S 9 L R E E v Q X V 0 b 1 J l b W 9 2 Z W R D b 2 x 1 b W 5 z M S 5 7 U 2 V u a W 9 y Z W 4 s M j R 9 J n F 1 b 3 Q 7 L C Z x d W 9 0 O 1 N l Y 3 R p b 2 4 x L 0 t E Q S 9 B d X R v U m V t b 3 Z l Z E N v b H V t b n M x L n t K b 2 5 n I F Z v b H d h c 3 N l b m U s M j V 9 J n F 1 b 3 Q 7 L C Z x d W 9 0 O 1 N l Y 3 R p b 2 4 x L 0 t E Q S 9 B d X R v U m V t b 3 Z l Z E N v b H V t b n M x L n t K d W 5 p b 3 J l b i w y N n 0 m c X V v d D s s J n F 1 b 3 Q 7 U 2 V j d G l v b j E v S 0 R B L 0 F 1 d G 9 S Z W 1 v d m V k Q 2 9 s d W 1 u c z E u e 0 F z c G l y Y W 5 0 Z W 4 s M j d 9 J n F 1 b 3 Q 7 L C Z x d W 9 0 O 1 N l Y 3 R p b 2 4 x L 0 t E Q S 9 B d X R v U m V t b 3 Z l Z E N v b H V t b n M x L n t E Z W V s b m F t Z S B t Y X J r Z X R l b n R z d G V y c y w y O H 0 m c X V v d D s s J n F 1 b 3 Q 7 U 2 V j d G l v b j E v S 0 R B L 0 F 1 d G 9 S Z W 1 v d m V k Q 2 9 s d W 1 u c z E u e 0 F h b n R h b C B s d W N o d G d l d 2 V l c n N j a H V 0 d G V y c y w y O X 0 m c X V v d D s s J n F 1 b 3 Q 7 U 2 V j d G l v b j E v S 0 R B L 0 F 1 d G 9 S Z W 1 v d m V k Q 2 9 s d W 1 u c z E u e 0 F h b n R h b C B s d W N o d H B p c 3 R v b 2 x z Y 2 h 1 d H R l c n M s M z B 9 J n F 1 b 3 Q 7 L C Z x d W 9 0 O 1 N l Y 3 R p b 2 4 x L 0 t E Q S 9 B d X R v U m V t b 3 Z l Z E N v b H V t b n M x L n t B Y W 5 0 Y W w g a G F u Z G J v b 2 d z Y 2 h 1 d H R l c n M s M z F 9 J n F 1 b 3 Q 7 L C Z x d W 9 0 O 1 N l Y 3 R p b 2 4 x L 0 t E Q S 9 B d X R v U m V t b 3 Z l Z E N v b H V t b n M x L n t B Y W 5 0 Y W w g a 3 J 1 a X N i b 2 9 n c 2 N o d X R 0 Z X J z L D M y f S Z x d W 9 0 O y w m c X V v d D t T Z W N 0 a W 9 u M S 9 L R E E v Q X V 0 b 1 J l b W 9 2 Z W R D b 2 x 1 b W 5 z M S 5 7 K E F h b n R h b C B q Z X V n Z G t v c n B z Z W 4 s M z N 9 J n F 1 b 3 Q 7 L C Z x d W 9 0 O 1 N l Y 3 R p b 2 4 x L 0 t E Q S 9 B d X R v U m V t b 3 Z l Z E N v b H V t b n M x L n t U b 3 R h Y W w g Y W F u d G F s I G R l Z W x u Z W 1 l c n M s M z R 9 J n F 1 b 3 Q 7 L C Z x d W 9 0 O 1 N l Y 3 R p b 2 4 x L 0 t E Q S 9 B d X R v U m V t b 3 Z l Z E N v b H V t b n M x L n t X Y W F y d m F u I G F h b n R h b C B q Z X V n Z C A o d C 9 t I D E 1 I G p h Y X I p L D M 1 f S Z x d W 9 0 O y w m c X V v d D t T Z W N 0 a W 9 u M S 9 L R E E v Q X V 0 b 1 J l b W 9 2 Z W R D b 2 x 1 b W 5 z M S 5 7 S 2 F u b 2 4 g Z X R j L i w z N n 0 m c X V v d D s s J n F 1 b 3 Q 7 U 2 V j d G l v b j E v S 0 R B L 0 F 1 d G 9 S Z W 1 v d m V k Q 2 9 s d W 1 u c z E u e 1 B h Y X J k Z W 4 g Z W 4 v b 2 Y g a 2 9 l d H N l b i w z N 3 0 m c X V v d D s s J n F 1 b 3 Q 7 U 2 V j d G l v b j E v S 0 R B L 0 F 1 d G 9 S Z W 1 v d m V k Q 2 9 s d W 1 u c z E u e 1 R v Z W x p Y 2 h 0 a W 5 n L 2 9 w b W V y a 2 l u Z 2 V u L D M 4 f S Z x d W 9 0 O y w m c X V v d D t T Z W N 0 a W 9 u M S 9 L R E E v Q X V 0 b 1 J l b W 9 2 Z W R D b 2 x 1 b W 5 z M S 5 7 S W 5 6 Z W 5 k a W 5 n L U l E L D M 5 f S Z x d W 9 0 O y w m c X V v d D t T Z W N 0 a W 9 u M S 9 L R E E v Q X V 0 b 1 J l b W 9 2 Z W R D b 2 x 1 b W 5 z M S 5 7 S W 5 6 Z W 5 k Z G F 0 d W 0 s N D B 9 J n F 1 b 3 Q 7 L C Z x d W 9 0 O 1 N l Y 3 R p b 2 4 x L 0 t E Q S 9 B d X R v U m V t b 3 Z l Z E N v b H V t b n M x L n t E Y X R l I F V w Z G F 0 Z W Q s N D F 9 J n F 1 b 3 Q 7 L C Z x d W 9 0 O 1 N l Y 3 R p b 2 4 x L 0 t E Q S 9 B d X R v U m V t b 3 Z l Z E N v b H V t b n M x L n t O Y W F t I H Z h b i B o Z X Q g a G 9 v Z m R r b 3 J w c y w 0 M n 0 m c X V v d D s s J n F 1 b 3 Q 7 U 2 V j d G l v b j E v S 0 R B L 0 F 1 d G 9 S Z W 1 v d m V k Q 2 9 s d W 1 u c z E u e 1 p h b C B v c C B 0 c m V k Z W 4 g Y W x z I C h o b 2 9 m Z G t v c n B z K S w 0 M 3 0 m c X V v d D s s J n F 1 b 3 Q 7 U 2 V j d G l v b j E v S 0 R B L 0 F 1 d G 9 S Z W 1 v d m V k Q 2 9 s d W 1 u c z E u e 1 Z v c m 0 g d m F u I H R 3 Z W U g b X V 6 a W V r d 2 V y a 2 V u I C h o b 2 9 m Z G t v c n B z K S w 0 N H 0 m c X V v d D s s J n F 1 b 3 Q 7 U 2 V j d G l v b j E v S 0 R B L 0 F 1 d G 9 S Z W 1 v d m V k Q 2 9 s d W 1 u c z E u e 1 p h b C B 1 a X R r b 2 1 l b i B p b i B k Z T o g K G h v b 2 Z k a 2 9 y c H M p L D Q 1 f S Z x d W 9 0 O y w m c X V v d D t T Z W N 0 a W 9 u M S 9 L R E E v Q X V 0 b 1 J l b W 9 2 Z W R D b 2 x 1 b W 5 z M S 5 7 T X V 6 a W V r d 2 V y a z E g K G h v b 2 Z k a 2 9 y c H M p L D Q 2 f S Z x d W 9 0 O y w m c X V v d D t T Z W N 0 a W 9 u M S 9 L R E E v Q X V 0 b 1 J l b W 9 2 Z W R D b 2 x 1 b W 5 z M S 5 7 T X V 6 a W V r d 2 V y a z I g K G h v b 2 Z k a 2 9 y c H M p L D Q 3 f S Z x d W 9 0 O y w m c X V v d D t T Z W N 0 a W 9 u M S 9 L R E E v Q X V 0 b 1 J l b W 9 2 Z W R D b 2 x 1 b W 5 z M S 5 7 S 2 9 y c H M g Y m V z d G F h d C B 1 a X Q g L i 4 u I G R l Z W x u Z W 1 l c n M g K G h v b 2 Z k a 2 9 y c H M p L D Q 4 f S Z x d W 9 0 O y w m c X V v d D t T Z W N 0 a W 9 u M S 9 L R E E v Q X V 0 b 1 J l b W 9 2 Z W R D b 2 x 1 b W 5 z M S 5 7 V 2 9 y Z H Q g Z X I g Z 2 V i c n V p a y B n Z W 1 h Y W t 0 I H Z h b i B t Z W N o Y W 5 p c 2 N o Z S B t d X p p Z W s / L D Q 5 f S Z x d W 9 0 O y w m c X V v d D t T Z W N 0 a W 9 u M S 9 L R E E v Q X V 0 b 1 J l b W 9 2 Z W R D b 2 x 1 b W 5 z M S 5 7 T 2 5 k Z X J k Z W x l b i w 1 M H 0 m c X V v d D s s J n F 1 b 3 Q 7 U 2 V j d G l v b j E v S 0 R B L 0 F 1 d G 9 S Z W 1 v d m V k Q 2 9 s d W 1 u c z E u e 1 N l Y 3 R p Z X M s N T F 9 J n F 1 b 3 Q 7 L C Z x d W 9 0 O 1 N l Y 3 R p b 2 4 x L 0 t E Q S 9 B d X R v U m V t b 3 Z l Z E N v b H V t b n M x L n t M Z W V m d G l q Z H N j Y X R l Z 2 9 y a W U s N T J 9 J n F 1 b 3 Q 7 X S w m c X V v d D t D b 2 x 1 b W 5 D b 3 V u d C Z x d W 9 0 O z o 1 M y w m c X V v d D t L Z X l D b 2 x 1 b W 5 O Y W 1 l c y Z x d W 9 0 O z p b X S w m c X V v d D t D b 2 x 1 b W 5 J Z G V u d G l 0 a W V z J n F 1 b 3 Q 7 O l s m c X V v d D t T Z W N 0 a W 9 u M S 9 L R E E v Q X V 0 b 1 J l b W 9 2 Z W R D b 2 x 1 b W 5 z M S 5 7 S 3 J p b m d k Y W c s M H 0 m c X V v d D s s J n F 1 b 3 Q 7 U 2 V j d G l v b j E v S 0 R B L 0 F 1 d G 9 S Z W 1 v d m V k Q 2 9 s d W 1 u c z E u e 1 Z l c i 5 u c i 4 s M X 0 m c X V v d D s s J n F 1 b 3 Q 7 U 2 V j d G l v b j E v S 0 R B L 0 F 1 d G 9 S Z W 1 v d m V k Q 2 9 s d W 1 u c z E u e 0 5 h Y W 0 g d m V y Z W 5 p Z 2 l u Z y w y f S Z x d W 9 0 O y w m c X V v d D t T Z W N 0 a W 9 u M S 9 L R E E v Q X V 0 b 1 J l b W 9 2 Z W R D b 2 x 1 b W 5 z M S 5 7 R G V s Z W d h d G l l L D N 9 J n F 1 b 3 Q 7 L C Z x d W 9 0 O 1 N l Y 3 R p b 2 4 x L 0 t E Q S 9 B d X R v U m V t b 3 Z l Z E N v b H V t b n M x L n t N d X p p Z W t r b 3 J w c y B 0 a W p k Z W 5 z I G 1 h c n M g Z W 4 g Z G V m a W x c d T A w R T k s N H 0 m c X V v d D s s J n F 1 b 3 Q 7 U 2 V j d G l v b j E v S 0 R B L 0 F 1 d G 9 S Z W 1 v d m V k Q 2 9 s d W 1 u c z E u e 0 R l Z W x u Y W 1 l I G p l d W d k a 2 9 u a W 5 n c 2 N o a W V 0 Z W 4 s N X 0 m c X V v d D s s J n F 1 b 3 Q 7 U 2 V j d G l v b j E v S 0 R B L 0 F 1 d G 9 S Z W 1 v d m V k Q 2 9 s d W 1 u c z E u e 0 1 h a i 4 g U 2 V u a W 9 y Z W 4 g a n V y Z X J l b i B i a W o g b W F y c y w 2 f S Z x d W 9 0 O y w m c X V v d D t T Z W N 0 a W 9 u M S 9 L R E E v Q X V 0 b 1 J l b W 9 2 Z W R D b 2 x 1 b W 5 z M S 5 7 T W F q L i B K Z X V n Z C B q d X J l c m V u I G J p a i B t Y X J z L D d 9 J n F 1 b 3 Q 7 L C Z x d W 9 0 O 1 N l Y 3 R p b 2 4 x L 0 t E Q S 9 B d X R v U m V t b 3 Z l Z E N v b H V t b n M x L n t L b 3 J w c y B z Z W 5 p b 3 J l b i w 4 f S Z x d W 9 0 O y w m c X V v d D t T Z W N 0 a W 9 u M S 9 L R E E v Q X V 0 b 1 J l b W 9 2 Z W R D b 2 x 1 b W 5 z M S 5 7 S n V u a W 9 y Z W 4 g a 2 9 y c H M g M S w 5 f S Z x d W 9 0 O y w m c X V v d D t T Z W N 0 a W 9 u M S 9 L R E E v Q X V 0 b 1 J l b W 9 2 Z W R D b 2 x 1 b W 5 z M S 5 7 S n V u a W 9 y Z W 4 g a 2 9 y c H M g M i w x M H 0 m c X V v d D s s J n F 1 b 3 Q 7 U 2 V j d G l v b j E v S 0 R B L 0 F 1 d G 9 S Z W 1 v d m V k Q 2 9 s d W 1 u c z E u e 0 F z c G l y Y W 5 0 Z W 4 g a 2 9 y c H M g M S w x M X 0 m c X V v d D s s J n F 1 b 3 Q 7 U 2 V j d G l v b j E v S 0 R B L 0 F 1 d G 9 S Z W 1 v d m V k Q 2 9 s d W 1 u c z E u e 0 F z c G l y Y W 5 0 Z W 4 g a 2 9 y c H M g M i w x M n 0 m c X V v d D s s J n F 1 b 3 Q 7 U 2 V j d G l v b j E v S 0 R B L 0 F 1 d G 9 S Z W 1 v d m V k Q 2 9 s d W 1 u c z E u e 0 F j c m 9 i Y X R p c 2 N o I H N l b m l v c m V u L D E z f S Z x d W 9 0 O y w m c X V v d D t T Z W N 0 a W 9 u M S 9 L R E E v Q X V 0 b 1 J l b W 9 2 Z W R D b 2 x 1 b W 5 z M S 5 7 Q W N y b 2 J h d G l z Y 2 g g a n V u a W 9 y Z W 4 s M T R 9 J n F 1 b 3 Q 7 L C Z x d W 9 0 O 1 N l Y 3 R p b 2 4 x L 0 t E Q S 9 B d X R v U m V t b 3 Z l Z E N v b H V t b n M x L n t B Y 3 J v Y m F 0 a X N j a C B h c 3 B p c m F u d G V u L D E 1 f S Z x d W 9 0 O y w m c X V v d D t T Z W N 0 a W 9 u M S 9 L R E E v Q X V 0 b 1 J l b W 9 2 Z W R D b 2 x 1 b W 5 z M S 5 7 T 3 B n Z X Z l b i B 2 Z W 5 k Z W x p Z X J z I G l u Z C 4 s M T Z 9 J n F 1 b 3 Q 7 L C Z x d W 9 0 O 1 N l Y 3 R p b 2 4 x L 0 t E Q S 9 B d X R v U m V t b 3 Z l Z E N v b H V t b n M x L n t B Y 3 J v Y i 4 g c 2 V u a W 9 y Z W 4 g a W 5 k a X Y u L D E 3 f S Z x d W 9 0 O y w m c X V v d D t T Z W N 0 a W 9 u M S 9 L R E E v Q X V 0 b 1 J l b W 9 2 Z W R D b 2 x 1 b W 5 z M S 5 7 Q W N y b 2 I u I G p 1 b m l v c m V u I G l u Z G l 2 L i w x O H 0 m c X V v d D s s J n F 1 b 3 Q 7 U 2 V j d G l v b j E v S 0 R B L 0 F 1 d G 9 S Z W 1 v d m V k Q 2 9 s d W 1 u c z E u e 0 F j c m 9 i L i B h c 3 B p c m F u d G V u I G l u Z G l 2 L i w x O X 0 m c X V v d D s s J n F 1 b 3 Q 7 U 2 V j d G l v b j E v S 0 R B L 0 F 1 d G 9 S Z W 1 v d m V k Q 2 9 s d W 1 u c z E u e 0 R l Z W x u Y W 1 l I G h v b 2 Z k a 2 9 y c H M s M j B 9 J n F 1 b 3 Q 7 L C Z x d W 9 0 O 1 N l Y 3 R p b 2 4 x L 0 t E Q S 9 B d X R v U m V t b 3 Z l Z E N v b H V t b n M x L n t H c m 9 l c G V u L C B 0 Z W F t c y w g Z W 5 z Z W 1 i b G V z I G V u I G R 1 b 1 x 1 M D A y N 3 M s M j F 9 J n F 1 b 3 Q 7 L C Z x d W 9 0 O 1 N l Y 3 R p b 2 4 x L 0 t E Q S 9 B d X R v U m V t b 3 Z l Z E N v b H V t b n M x L n t B Y W 5 0 Y W w g b 3 B n Z W d l d m V u I G 1 h a m 9 y Z X R 0 Z X M s M j J 9 J n F 1 b 3 Q 7 L C Z x d W 9 0 O 1 N l Y 3 R p b 2 4 x L 0 t E Q S 9 B d X R v U m V t b 3 Z l Z E N v b H V t b n M x L n t P c G d l d m V u I G J p Z W x l b W F u b m V u L D I z f S Z x d W 9 0 O y w m c X V v d D t T Z W N 0 a W 9 u M S 9 L R E E v Q X V 0 b 1 J l b W 9 2 Z W R D b 2 x 1 b W 5 z M S 5 7 U 2 V u a W 9 y Z W 4 s M j R 9 J n F 1 b 3 Q 7 L C Z x d W 9 0 O 1 N l Y 3 R p b 2 4 x L 0 t E Q S 9 B d X R v U m V t b 3 Z l Z E N v b H V t b n M x L n t K b 2 5 n I F Z v b H d h c 3 N l b m U s M j V 9 J n F 1 b 3 Q 7 L C Z x d W 9 0 O 1 N l Y 3 R p b 2 4 x L 0 t E Q S 9 B d X R v U m V t b 3 Z l Z E N v b H V t b n M x L n t K d W 5 p b 3 J l b i w y N n 0 m c X V v d D s s J n F 1 b 3 Q 7 U 2 V j d G l v b j E v S 0 R B L 0 F 1 d G 9 S Z W 1 v d m V k Q 2 9 s d W 1 u c z E u e 0 F z c G l y Y W 5 0 Z W 4 s M j d 9 J n F 1 b 3 Q 7 L C Z x d W 9 0 O 1 N l Y 3 R p b 2 4 x L 0 t E Q S 9 B d X R v U m V t b 3 Z l Z E N v b H V t b n M x L n t E Z W V s b m F t Z S B t Y X J r Z X R l b n R z d G V y c y w y O H 0 m c X V v d D s s J n F 1 b 3 Q 7 U 2 V j d G l v b j E v S 0 R B L 0 F 1 d G 9 S Z W 1 v d m V k Q 2 9 s d W 1 u c z E u e 0 F h b n R h b C B s d W N o d G d l d 2 V l c n N j a H V 0 d G V y c y w y O X 0 m c X V v d D s s J n F 1 b 3 Q 7 U 2 V j d G l v b j E v S 0 R B L 0 F 1 d G 9 S Z W 1 v d m V k Q 2 9 s d W 1 u c z E u e 0 F h b n R h b C B s d W N o d H B p c 3 R v b 2 x z Y 2 h 1 d H R l c n M s M z B 9 J n F 1 b 3 Q 7 L C Z x d W 9 0 O 1 N l Y 3 R p b 2 4 x L 0 t E Q S 9 B d X R v U m V t b 3 Z l Z E N v b H V t b n M x L n t B Y W 5 0 Y W w g a G F u Z G J v b 2 d z Y 2 h 1 d H R l c n M s M z F 9 J n F 1 b 3 Q 7 L C Z x d W 9 0 O 1 N l Y 3 R p b 2 4 x L 0 t E Q S 9 B d X R v U m V t b 3 Z l Z E N v b H V t b n M x L n t B Y W 5 0 Y W w g a 3 J 1 a X N i b 2 9 n c 2 N o d X R 0 Z X J z L D M y f S Z x d W 9 0 O y w m c X V v d D t T Z W N 0 a W 9 u M S 9 L R E E v Q X V 0 b 1 J l b W 9 2 Z W R D b 2 x 1 b W 5 z M S 5 7 K E F h b n R h b C B q Z X V n Z G t v c n B z Z W 4 s M z N 9 J n F 1 b 3 Q 7 L C Z x d W 9 0 O 1 N l Y 3 R p b 2 4 x L 0 t E Q S 9 B d X R v U m V t b 3 Z l Z E N v b H V t b n M x L n t U b 3 R h Y W w g Y W F u d G F s I G R l Z W x u Z W 1 l c n M s M z R 9 J n F 1 b 3 Q 7 L C Z x d W 9 0 O 1 N l Y 3 R p b 2 4 x L 0 t E Q S 9 B d X R v U m V t b 3 Z l Z E N v b H V t b n M x L n t X Y W F y d m F u I G F h b n R h b C B q Z X V n Z C A o d C 9 t I D E 1 I G p h Y X I p L D M 1 f S Z x d W 9 0 O y w m c X V v d D t T Z W N 0 a W 9 u M S 9 L R E E v Q X V 0 b 1 J l b W 9 2 Z W R D b 2 x 1 b W 5 z M S 5 7 S 2 F u b 2 4 g Z X R j L i w z N n 0 m c X V v d D s s J n F 1 b 3 Q 7 U 2 V j d G l v b j E v S 0 R B L 0 F 1 d G 9 S Z W 1 v d m V k Q 2 9 s d W 1 u c z E u e 1 B h Y X J k Z W 4 g Z W 4 v b 2 Y g a 2 9 l d H N l b i w z N 3 0 m c X V v d D s s J n F 1 b 3 Q 7 U 2 V j d G l v b j E v S 0 R B L 0 F 1 d G 9 S Z W 1 v d m V k Q 2 9 s d W 1 u c z E u e 1 R v Z W x p Y 2 h 0 a W 5 n L 2 9 w b W V y a 2 l u Z 2 V u L D M 4 f S Z x d W 9 0 O y w m c X V v d D t T Z W N 0 a W 9 u M S 9 L R E E v Q X V 0 b 1 J l b W 9 2 Z W R D b 2 x 1 b W 5 z M S 5 7 S W 5 6 Z W 5 k a W 5 n L U l E L D M 5 f S Z x d W 9 0 O y w m c X V v d D t T Z W N 0 a W 9 u M S 9 L R E E v Q X V 0 b 1 J l b W 9 2 Z W R D b 2 x 1 b W 5 z M S 5 7 S W 5 6 Z W 5 k Z G F 0 d W 0 s N D B 9 J n F 1 b 3 Q 7 L C Z x d W 9 0 O 1 N l Y 3 R p b 2 4 x L 0 t E Q S 9 B d X R v U m V t b 3 Z l Z E N v b H V t b n M x L n t E Y X R l I F V w Z G F 0 Z W Q s N D F 9 J n F 1 b 3 Q 7 L C Z x d W 9 0 O 1 N l Y 3 R p b 2 4 x L 0 t E Q S 9 B d X R v U m V t b 3 Z l Z E N v b H V t b n M x L n t O Y W F t I H Z h b i B o Z X Q g a G 9 v Z m R r b 3 J w c y w 0 M n 0 m c X V v d D s s J n F 1 b 3 Q 7 U 2 V j d G l v b j E v S 0 R B L 0 F 1 d G 9 S Z W 1 v d m V k Q 2 9 s d W 1 u c z E u e 1 p h b C B v c C B 0 c m V k Z W 4 g Y W x z I C h o b 2 9 m Z G t v c n B z K S w 0 M 3 0 m c X V v d D s s J n F 1 b 3 Q 7 U 2 V j d G l v b j E v S 0 R B L 0 F 1 d G 9 S Z W 1 v d m V k Q 2 9 s d W 1 u c z E u e 1 Z v c m 0 g d m F u I H R 3 Z W U g b X V 6 a W V r d 2 V y a 2 V u I C h o b 2 9 m Z G t v c n B z K S w 0 N H 0 m c X V v d D s s J n F 1 b 3 Q 7 U 2 V j d G l v b j E v S 0 R B L 0 F 1 d G 9 S Z W 1 v d m V k Q 2 9 s d W 1 u c z E u e 1 p h b C B 1 a X R r b 2 1 l b i B p b i B k Z T o g K G h v b 2 Z k a 2 9 y c H M p L D Q 1 f S Z x d W 9 0 O y w m c X V v d D t T Z W N 0 a W 9 u M S 9 L R E E v Q X V 0 b 1 J l b W 9 2 Z W R D b 2 x 1 b W 5 z M S 5 7 T X V 6 a W V r d 2 V y a z E g K G h v b 2 Z k a 2 9 y c H M p L D Q 2 f S Z x d W 9 0 O y w m c X V v d D t T Z W N 0 a W 9 u M S 9 L R E E v Q X V 0 b 1 J l b W 9 2 Z W R D b 2 x 1 b W 5 z M S 5 7 T X V 6 a W V r d 2 V y a z I g K G h v b 2 Z k a 2 9 y c H M p L D Q 3 f S Z x d W 9 0 O y w m c X V v d D t T Z W N 0 a W 9 u M S 9 L R E E v Q X V 0 b 1 J l b W 9 2 Z W R D b 2 x 1 b W 5 z M S 5 7 S 2 9 y c H M g Y m V z d G F h d C B 1 a X Q g L i 4 u I G R l Z W x u Z W 1 l c n M g K G h v b 2 Z k a 2 9 y c H M p L D Q 4 f S Z x d W 9 0 O y w m c X V v d D t T Z W N 0 a W 9 u M S 9 L R E E v Q X V 0 b 1 J l b W 9 2 Z W R D b 2 x 1 b W 5 z M S 5 7 V 2 9 y Z H Q g Z X I g Z 2 V i c n V p a y B n Z W 1 h Y W t 0 I H Z h b i B t Z W N o Y W 5 p c 2 N o Z S B t d X p p Z W s / L D Q 5 f S Z x d W 9 0 O y w m c X V v d D t T Z W N 0 a W 9 u M S 9 L R E E v Q X V 0 b 1 J l b W 9 2 Z W R D b 2 x 1 b W 5 z M S 5 7 T 2 5 k Z X J k Z W x l b i w 1 M H 0 m c X V v d D s s J n F 1 b 3 Q 7 U 2 V j d G l v b j E v S 0 R B L 0 F 1 d G 9 S Z W 1 v d m V k Q 2 9 s d W 1 u c z E u e 1 N l Y 3 R p Z X M s N T F 9 J n F 1 b 3 Q 7 L C Z x d W 9 0 O 1 N l Y 3 R p b 2 4 x L 0 t E Q S 9 B d X R v U m V t b 3 Z l Z E N v b H V t b n M x L n t M Z W V m d G l q Z H N j Y X R l Z 2 9 y a W U s N T J 9 J n F 1 b 3 Q 7 X S w m c X V v d D t S Z W x h d G l v b n N o a X B J b m Z v J n F 1 b 3 Q 7 O l t d f S I g L z 4 8 R W 5 0 c n k g V H l w Z T 0 i Q W R k Z W R U b 0 R h d G F N b 2 R l b C I g V m F s d W U 9 I m w w I i A v P j w v U 3 R h Y m x l R W 5 0 c m l l c z 4 8 L 0 l 0 Z W 0 + P E l 0 Z W 0 + P E l 0 Z W 1 M b 2 N h d G l v b j 4 8 S X R l b V R 5 c G U + R m 9 y b X V s Y T w v S X R l b V R 5 c G U + P E l 0 Z W 1 Q Y X R o P l N l Y 3 R p b 2 4 x L 0 t E Q S 9 C c m 9 u P C 9 J d G V t U G F 0 a D 4 8 L 0 l 0 Z W 1 M b 2 N h d G l v b j 4 8 U 3 R h Y m x l R W 5 0 c m l l c y A v P j w v S X R l b T 4 8 S X R l b T 4 8 S X R l b U x v Y 2 F 0 a W 9 u P j x J d G V t V H l w Z T 5 G b 3 J t d W x h P C 9 J d G V t V H l w Z T 4 8 S X R l b V B h d G g + U 2 V j d G l v b j E v S 0 R B L 0 h l Y W R l c n M l M j B t Z X Q l M j B 2 Z X J o b 2 9 n Z C U y M G 5 p d m V h d T w v S X R l b V B h d G g + P C 9 J d G V t T G 9 j Y X R p b 2 4 + P F N 0 Y W J s Z U V u d H J p Z X M g L z 4 8 L 0 l 0 Z W 0 + P E l 0 Z W 0 + P E l 0 Z W 1 M b 2 N h d G l v b j 4 8 S X R l b V R 5 c G U + R m 9 y b X V s Y T w v S X R l b V R 5 c G U + P E l 0 Z W 1 Q Y X R o P l N l Y 3 R p b 2 4 x L 0 t E Q S 9 I Z X Q l M j B r b 2 x v b X R 5 c G U l M j B p c y U y M G d l d 2 l q e m l n Z D w v S X R l b V B h d G g + P C 9 J d G V t T G 9 j Y X R p b 2 4 + P F N 0 Y W J s Z U V u d H J p Z X M g L z 4 8 L 0 l 0 Z W 0 + P E l 0 Z W 0 + P E l 0 Z W 1 M b 2 N h d G l v b j 4 8 S X R l b V R 5 c G U + R m 9 y b X V s Y T w v S X R l b V R 5 c G U + P E l 0 Z W 1 Q Y X R o P l N l Y 3 R p b 2 4 x L 0 t E Q S 9 B Y W 5 n Z X B h c 3 Q l M j B p d G V t J T I w d G 9 l Z 2 V 2 b 2 V n Z D w v S X R l b V B h d G g + P C 9 J d G V t T G 9 j Y X R p b 2 4 + P F N 0 Y W J s Z U V u d H J p Z X M g L z 4 8 L 0 l 0 Z W 0 + P E l 0 Z W 0 + P E l 0 Z W 1 M b 2 N h d G l v b j 4 8 S X R l b V R 5 c G U + R m 9 y b X V s Y T w v S X R l b V R 5 c G U + P E l 0 Z W 1 Q Y X R o P l N l Y 3 R p b 2 4 x L 0 t E Q S 9 W b 2 9 y d 2 F h c m R l b G l q a 2 U l M j B r b 2 x v b S U y M G l u Z 2 V 2 b 2 V n Z D w v S X R l b V B h d G g + P C 9 J d G V t T G 9 j Y X R p b 2 4 + P F N 0 Y W J s Z U V u d H J p Z X M g L z 4 8 L 0 l 0 Z W 0 + P E l 0 Z W 0 + P E l 0 Z W 1 M b 2 N h d G l v b j 4 8 S X R l b V R 5 c G U + R m 9 y b X V s Y T w v S X R l b V R 5 c G U + P E l 0 Z W 1 Q Y X R o P l N l Y 3 R p b 2 4 x L 0 t E Q S 9 B Y W 5 n Z X B h c 3 Q l M j B p d G V t J T I w d G 9 l Z 2 V 2 b 2 V n Z D E 8 L 0 l 0 Z W 1 Q Y X R o P j w v S X R l b U x v Y 2 F 0 a W 9 u P j x T d G F i b G V F b n R y a W V z I C 8 + P C 9 J d G V t P j x J d G V t P j x J d G V t T G 9 j Y X R p b 2 4 + P E l 0 Z W 1 U e X B l P k Z v c m 1 1 b G E 8 L 0 l 0 Z W 1 U e X B l P j x J d G V t U G F 0 a D 5 T Z W N 0 a W 9 u M S 9 L R E E v V m 9 v c n d h Y X J k Z W x p a m t l J T I w a 2 9 s b 2 0 l M j B p b m d l d m 9 l Z 2 Q x P C 9 J d G V t U G F 0 a D 4 8 L 0 l 0 Z W 1 M b 2 N h d G l v b j 4 8 U 3 R h Y m x l R W 5 0 c m l l c y A v P j w v S X R l b T 4 8 S X R l b T 4 8 S X R l b U x v Y 2 F 0 a W 9 u P j x J d G V t V H l w Z T 5 G b 3 J t d W x h P C 9 J d G V t V H l w Z T 4 8 S X R l b V B h d G g + U 2 V j d G l v b j E v S 0 R B L 0 F h b m d l c G F z d C U y M G l 0 Z W 0 l M j B 0 b 2 V n Z X Z v Z W d k M j w v S X R l b V B h d G g + P C 9 J d G V t T G 9 j Y X R p b 2 4 + P F N 0 Y W J s Z U V u d H J p Z X M g L z 4 8 L 0 l 0 Z W 0 + P E l 0 Z W 0 + P E l 0 Z W 1 M b 2 N h d G l v b j 4 8 S X R l b V R 5 c G U + R m 9 y b X V s Y T w v S X R l b V R 5 c G U + P E l 0 Z W 1 Q Y X R o P l N l Y 3 R p b 2 4 x L 0 t E Q S 9 W b 2 9 y d 2 F h c m R l b G l q a 2 U l M j B r b 2 x v b S U y M G l u Z 2 V 2 b 2 V n Z D I 8 L 0 l 0 Z W 1 Q Y X R o P j w v S X R l b U x v Y 2 F 0 a W 9 u P j x T d G F i b G V F b n R y a W V z I C 8 + P C 9 J d G V t P j x J d G V t P j x J d G V t T G 9 j Y X R p b 2 4 + P E l 0 Z W 1 U e X B l P k Z v c m 1 1 b G E 8 L 0 l 0 Z W 1 U e X B l P j x J d G V t U G F 0 a D 5 T Z W N 0 a W 9 u M S 9 L R E E v Q W F u Z 2 V w Y X N 0 J T I w a X R l b S U y M H R v Z W d l d m 9 l Z 2 Q z P C 9 J d G V t U G F 0 a D 4 8 L 0 l 0 Z W 1 M b 2 N h d G l v b j 4 8 U 3 R h Y m x l R W 5 0 c m l l c y A v P j w v S X R l b T 4 8 S X R l b T 4 8 S X R l b U x v Y 2 F 0 a W 9 u P j x J d G V t V H l w Z T 5 G b 3 J t d W x h P C 9 J d G V t V H l w Z T 4 8 S X R l b V B h d G g + U 2 V j d G l v b j E v S 0 R B L 1 Z v b 3 J 3 Y W F y Z G V s a W p r Z S U y M G t v b G 9 t J T I w a W 5 n Z X Z v Z W d k M z w v S X R l b V B h d G g + P C 9 J d G V t T G 9 j Y X R p b 2 4 + P F N 0 Y W J s Z U V u d H J p Z X M g L z 4 8 L 0 l 0 Z W 0 + P E l 0 Z W 0 + P E l 0 Z W 1 M b 2 N h d G l v b j 4 8 S X R l b V R 5 c G U + R m 9 y b X V s Y T w v S X R l b V R 5 c G U + P E l 0 Z W 1 Q Y X R o P l N l Y 3 R p b 2 4 x L 0 t E Q S 9 B Y W 5 n Z X B h c 3 Q l M j B p d G V t J T I w d G 9 l Z 2 V 2 b 2 V n Z D Q 8 L 0 l 0 Z W 1 Q Y X R o P j w v S X R l b U x v Y 2 F 0 a W 9 u P j x T d G F i b G V F b n R y a W V z I C 8 + P C 9 J d G V t P j x J d G V t P j x J d G V t T G 9 j Y X R p b 2 4 + P E l 0 Z W 1 U e X B l P k Z v c m 1 1 b G E 8 L 0 l 0 Z W 1 U e X B l P j x J d G V t U G F 0 a D 5 T Z W N 0 a W 9 u M S 9 L R E E v V m 9 v c n d h Y X J k Z W x p a m t l J T I w a 2 9 s b 2 0 l M j B p b m d l d m 9 l Z 2 Q 0 P C 9 J d G V t U G F 0 a D 4 8 L 0 l 0 Z W 1 M b 2 N h d G l v b j 4 8 U 3 R h Y m x l R W 5 0 c m l l c y A v P j w v S X R l b T 4 8 S X R l b T 4 8 S X R l b U x v Y 2 F 0 a W 9 u P j x J d G V t V H l w Z T 5 G b 3 J t d W x h P C 9 J d G V t V H l w Z T 4 8 S X R l b V B h d G g + U 2 V j d G l v b j E v S 0 R B L 0 F h b m d l c G F z d C U y M G l 0 Z W 0 l M j B 0 b 2 V n Z X Z v Z W d k N T w v S X R l b V B h d G g + P C 9 J d G V t T G 9 j Y X R p b 2 4 + P F N 0 Y W J s Z U V u d H J p Z X M g L z 4 8 L 0 l 0 Z W 0 + P E l 0 Z W 0 + P E l 0 Z W 1 M b 2 N h d G l v b j 4 8 S X R l b V R 5 c G U + R m 9 y b X V s Y T w v S X R l b V R 5 c G U + P E l 0 Z W 1 Q Y X R o P l N l Y 3 R p b 2 4 x L 0 t E Q S 9 W b 2 9 y d 2 F h c m R l b G l q a 2 U l M j B r b 2 x v b S U y M G l u Z 2 V 2 b 2 V n Z D U 8 L 0 l 0 Z W 1 Q Y X R o P j w v S X R l b U x v Y 2 F 0 a W 9 u P j x T d G F i b G V F b n R y a W V z I C 8 + P C 9 J d G V t P j x J d G V t P j x J d G V t T G 9 j Y X R p b 2 4 + P E l 0 Z W 1 U e X B l P k Z v c m 1 1 b G E 8 L 0 l 0 Z W 1 U e X B l P j x J d G V t U G F 0 a D 5 T Z W N 0 a W 9 u M S 9 L R E E v Q W F u Z 2 V w Y X N 0 J T I w a X R l b S U y M H R v Z W d l d m 9 l Z 2 Q 2 P C 9 J d G V t U G F 0 a D 4 8 L 0 l 0 Z W 1 M b 2 N h d G l v b j 4 8 U 3 R h Y m x l R W 5 0 c m l l c y A v P j w v S X R l b T 4 8 S X R l b T 4 8 S X R l b U x v Y 2 F 0 a W 9 u P j x J d G V t V H l w Z T 5 G b 3 J t d W x h P C 9 J d G V t V H l w Z T 4 8 S X R l b V B h d G g + U 2 V j d G l v b j E v S 0 R B L 1 Z v b 3 J 3 Y W F y Z G V s a W p r Z S U y M G t v b G 9 t J T I w a W 5 n Z X Z v Z W d k N j w v S X R l b V B h d G g + P C 9 J d G V t T G 9 j Y X R p b 2 4 + P F N 0 Y W J s Z U V u d H J p Z X M g L z 4 8 L 0 l 0 Z W 0 + P E l 0 Z W 0 + P E l 0 Z W 1 M b 2 N h d G l v b j 4 8 S X R l b V R 5 c G U + R m 9 y b X V s Y T w v S X R l b V R 5 c G U + P E l 0 Z W 1 Q Y X R o P l N l Y 3 R p b 2 4 x L 0 t E Q S 9 B Y W 5 n Z X B h c 3 Q l M j B p d G V t J T I w d G 9 l Z 2 V 2 b 2 V n Z D c 8 L 0 l 0 Z W 1 Q Y X R o P j w v S X R l b U x v Y 2 F 0 a W 9 u P j x T d G F i b G V F b n R y a W V z I C 8 + P C 9 J d G V t P j x J d G V t P j x J d G V t T G 9 j Y X R p b 2 4 + P E l 0 Z W 1 U e X B l P k Z v c m 1 1 b G E 8 L 0 l 0 Z W 1 U e X B l P j x J d G V t U G F 0 a D 5 T Z W N 0 a W 9 u M S 9 L R E E v V m 9 v c n d h Y X J k Z W x p a m t l J T I w a 2 9 s b 2 0 l M j B p b m d l d m 9 l Z 2 Q 3 P C 9 J d G V t U G F 0 a D 4 8 L 0 l 0 Z W 1 M b 2 N h d G l v b j 4 8 U 3 R h Y m x l R W 5 0 c m l l c y A v P j w v S X R l b T 4 8 S X R l b T 4 8 S X R l b U x v Y 2 F 0 a W 9 u P j x J d G V t V H l w Z T 5 G b 3 J t d W x h P C 9 J d G V t V H l w Z T 4 8 S X R l b V B h d G g + U 2 V j d G l v b j E v S 0 R B L 0 F h b m d l c G F z d C U y M G l 0 Z W 0 l M j B 0 b 2 V n Z X Z v Z W d k O D w v S X R l b V B h d G g + P C 9 J d G V t T G 9 j Y X R p b 2 4 + P F N 0 Y W J s Z U V u d H J p Z X M g L z 4 8 L 0 l 0 Z W 0 + P E l 0 Z W 0 + P E l 0 Z W 1 M b 2 N h d G l v b j 4 8 S X R l b V R 5 c G U + R m 9 y b X V s Y T w v S X R l b V R 5 c G U + P E l 0 Z W 1 Q Y X R o P l N l Y 3 R p b 2 4 x L 0 t E Q S 9 W b 2 9 y d 2 F h c m R l b G l q a 2 U l M j B r b 2 x v b S U y M G l u Z 2 V 2 b 2 V n Z D g 8 L 0 l 0 Z W 1 Q Y X R o P j w v S X R l b U x v Y 2 F 0 a W 9 u P j x T d G F i b G V F b n R y a W V z I C 8 + P C 9 J d G V t P j x J d G V t P j x J d G V t T G 9 j Y X R p b 2 4 + P E l 0 Z W 1 U e X B l P k Z v c m 1 1 b G E 8 L 0 l 0 Z W 1 U e X B l P j x J d G V t U G F 0 a D 5 T Z W N 0 a W 9 u M S 9 L R E E v Q W F u Z 2 V w Y X N 0 J T I w a X R l b S U y M H R v Z W d l d m 9 l Z 2 Q 5 P C 9 J d G V t U G F 0 a D 4 8 L 0 l 0 Z W 1 M b 2 N h d G l v b j 4 8 U 3 R h Y m x l R W 5 0 c m l l c y A v P j w v S X R l b T 4 8 S X R l b T 4 8 S X R l b U x v Y 2 F 0 a W 9 u P j x J d G V t V H l w Z T 5 G b 3 J t d W x h P C 9 J d G V t V H l w Z T 4 8 S X R l b V B h d G g + U 2 V j d G l v b j E v S 0 R B L 1 Z v b 3 J 3 Y W F y Z G V s a W p r Z S U y M G t v b G 9 t J T I w a W 5 n Z X Z v Z W d k O T w v S X R l b V B h d G g + P C 9 J d G V t T G 9 j Y X R p b 2 4 + P F N 0 Y W J s Z U V u d H J p Z X M g L z 4 8 L 0 l 0 Z W 0 + P E l 0 Z W 0 + P E l 0 Z W 1 M b 2 N h d G l v b j 4 8 S X R l b V R 5 c G U + R m 9 y b X V s Y T w v S X R l b V R 5 c G U + P E l 0 Z W 1 Q Y X R o P l N l Y 3 R p b 2 4 x L 0 t E Q S 9 B Y W 5 n Z X B h c 3 Q l M j B p d G V t J T I w d G 9 l Z 2 V 2 b 2 V n Z D E w P C 9 J d G V t U G F 0 a D 4 8 L 0 l 0 Z W 1 M b 2 N h d G l v b j 4 8 U 3 R h Y m x l R W 5 0 c m l l c y A v P j w v S X R l b T 4 8 S X R l b T 4 8 S X R l b U x v Y 2 F 0 a W 9 u P j x J d G V t V H l w Z T 5 G b 3 J t d W x h P C 9 J d G V t V H l w Z T 4 8 S X R l b V B h d G g + U 2 V j d G l v b j E v S 0 R B L 1 Z v b 3 J 3 Y W F y Z G V s a W p r Z S U y M G t v b G 9 t J T I w a W 5 n Z X Z v Z W d k M T A 8 L 0 l 0 Z W 1 Q Y X R o P j w v S X R l b U x v Y 2 F 0 a W 9 u P j x T d G F i b G V F b n R y a W V z I C 8 + P C 9 J d G V t P j x J d G V t P j x J d G V t T G 9 j Y X R p b 2 4 + P E l 0 Z W 1 U e X B l P k Z v c m 1 1 b G E 8 L 0 l 0 Z W 1 U e X B l P j x J d G V t U G F 0 a D 5 T Z W N 0 a W 9 u M S 9 L R E E v Q W F u Z 2 V w Y X N 0 J T I w a X R l b S U y M H R v Z W d l d m 9 l Z 2 Q x M T w v S X R l b V B h d G g + P C 9 J d G V t T G 9 j Y X R p b 2 4 + P F N 0 Y W J s Z U V u d H J p Z X M g L z 4 8 L 0 l 0 Z W 0 + P E l 0 Z W 0 + P E l 0 Z W 1 M b 2 N h d G l v b j 4 8 S X R l b V R 5 c G U + R m 9 y b X V s Y T w v S X R l b V R 5 c G U + P E l 0 Z W 1 Q Y X R o P l N l Y 3 R p b 2 4 x L 0 t E Q S 9 W b 2 9 y d 2 F h c m R l b G l q a 2 U l M j B r b 2 x v b S U y M G l u Z 2 V 2 b 2 V n Z D E x P C 9 J d G V t U G F 0 a D 4 8 L 0 l 0 Z W 1 M b 2 N h d G l v b j 4 8 U 3 R h Y m x l R W 5 0 c m l l c y A v P j w v S X R l b T 4 8 S X R l b T 4 8 S X R l b U x v Y 2 F 0 a W 9 u P j x J d G V t V H l w Z T 5 G b 3 J t d W x h P C 9 J d G V t V H l w Z T 4 8 S X R l b V B h d G g + U 2 V j d G l v b j E v S 0 R B L 0 F h b m d l c G F z d C U y M G l 0 Z W 0 l M j B 0 b 2 V n Z X Z v Z W d k M T I 8 L 0 l 0 Z W 1 Q Y X R o P j w v S X R l b U x v Y 2 F 0 a W 9 u P j x T d G F i b G V F b n R y a W V z I C 8 + P C 9 J d G V t P j x J d G V t P j x J d G V t T G 9 j Y X R p b 2 4 + P E l 0 Z W 1 U e X B l P k Z v c m 1 1 b G E 8 L 0 l 0 Z W 1 U e X B l P j x J d G V t U G F 0 a D 5 T Z W N 0 a W 9 u M S 9 L R E E v V m 9 v c n d h Y X J k Z W x p a m t l J T I w a 2 9 s b 2 0 l M j B p b m d l d m 9 l Z 2 Q x M j w v S X R l b V B h d G g + P C 9 J d G V t T G 9 j Y X R p b 2 4 + P F N 0 Y W J s Z U V u d H J p Z X M g L z 4 8 L 0 l 0 Z W 0 + P E l 0 Z W 0 + P E l 0 Z W 1 M b 2 N h d G l v b j 4 8 S X R l b V R 5 c G U + R m 9 y b X V s Y T w v S X R l b V R 5 c G U + P E l 0 Z W 1 Q Y X R o P l N l Y 3 R p b 2 4 x L 0 t E Q S 9 B Y W 5 n Z X B h c 3 Q l M j B p d G V t J T I w d G 9 l Z 2 V 2 b 2 V n Z D E z P C 9 J d G V t U G F 0 a D 4 8 L 0 l 0 Z W 1 M b 2 N h d G l v b j 4 8 U 3 R h Y m x l R W 5 0 c m l l c y A v P j w v S X R l b T 4 8 S X R l b T 4 8 S X R l b U x v Y 2 F 0 a W 9 u P j x J d G V t V H l w Z T 5 G b 3 J t d W x h P C 9 J d G V t V H l w Z T 4 8 S X R l b V B h d G g + U 2 V j d G l v b j E v S 0 R B L 1 Z v b 3 J 3 Y W F y Z G V s a W p r Z S U y M G t v b G 9 t J T I w a W 5 n Z X Z v Z W d k M T M 8 L 0 l 0 Z W 1 Q Y X R o P j w v S X R l b U x v Y 2 F 0 a W 9 u P j x T d G F i b G V F b n R y a W V z I C 8 + P C 9 J d G V t P j x J d G V t P j x J d G V t T G 9 j Y X R p b 2 4 + P E l 0 Z W 1 U e X B l P k Z v c m 1 1 b G E 8 L 0 l 0 Z W 1 U e X B l P j x J d G V t U G F 0 a D 5 T Z W N 0 a W 9 u M S 9 L R E E v Q W F u Z 2 V w Y X N 0 J T I w a X R l b S U y M H R v Z W d l d m 9 l Z 2 Q x N D w v S X R l b V B h d G g + P C 9 J d G V t T G 9 j Y X R p b 2 4 + P F N 0 Y W J s Z U V u d H J p Z X M g L z 4 8 L 0 l 0 Z W 0 + P E l 0 Z W 0 + P E l 0 Z W 1 M b 2 N h d G l v b j 4 8 S X R l b V R 5 c G U + R m 9 y b X V s Y T w v S X R l b V R 5 c G U + P E l 0 Z W 1 Q Y X R o P l N l Y 3 R p b 2 4 x L 0 t E Q S 9 W b 2 9 y d 2 F h c m R l b G l q a 2 U l M j B r b 2 x v b S U y M G l u Z 2 V 2 b 2 V n Z D E 0 P C 9 J d G V t U G F 0 a D 4 8 L 0 l 0 Z W 1 M b 2 N h d G l v b j 4 8 U 3 R h Y m x l R W 5 0 c m l l c y A v P j w v S X R l b T 4 8 S X R l b T 4 8 S X R l b U x v Y 2 F 0 a W 9 u P j x J d G V t V H l w Z T 5 G b 3 J t d W x h P C 9 J d G V t V H l w Z T 4 8 S X R l b V B h d G g + U 2 V j d G l v b j E v S 0 R B L 0 F h b m d l c G F z d C U y M G l 0 Z W 0 l M j B 0 b 2 V n Z X Z v Z W d k M T U 8 L 0 l 0 Z W 1 Q Y X R o P j w v S X R l b U x v Y 2 F 0 a W 9 u P j x T d G F i b G V F b n R y a W V z I C 8 + P C 9 J d G V t P j x J d G V t P j x J d G V t T G 9 j Y X R p b 2 4 + P E l 0 Z W 1 U e X B l P k Z v c m 1 1 b G E 8 L 0 l 0 Z W 1 U e X B l P j x J d G V t U G F 0 a D 5 T Z W N 0 a W 9 u M S 9 L R E E v V m 9 v c n d h Y X J k Z W x p a m t l J T I w a 2 9 s b 2 0 l M j B p b m d l d m 9 l Z 2 Q x N T w v S X R l b V B h d G g + P C 9 J d G V t T G 9 j Y X R p b 2 4 + P F N 0 Y W J s Z U V u d H J p Z X M g L z 4 8 L 0 l 0 Z W 0 + P E l 0 Z W 0 + P E l 0 Z W 1 M b 2 N h d G l v b j 4 8 S X R l b V R 5 c G U + R m 9 y b X V s Y T w v S X R l b V R 5 c G U + P E l 0 Z W 1 Q Y X R o P l N l Y 3 R p b 2 4 x L 0 t E Q S 9 B Y W 5 n Z X B h c 3 Q l M j B p d G V t J T I w d G 9 l Z 2 V 2 b 2 V n Z D E 2 P C 9 J d G V t U G F 0 a D 4 8 L 0 l 0 Z W 1 M b 2 N h d G l v b j 4 8 U 3 R h Y m x l R W 5 0 c m l l c y A v P j w v S X R l b T 4 8 S X R l b T 4 8 S X R l b U x v Y 2 F 0 a W 9 u P j x J d G V t V H l w Z T 5 G b 3 J t d W x h P C 9 J d G V t V H l w Z T 4 8 S X R l b V B h d G g + U 2 V j d G l v b j E v S 0 R B L 1 Z v b 3 J 3 Y W F y Z G V s a W p r Z S U y M G t v b G 9 t J T I w a W 5 n Z X Z v Z W d k M T Y 8 L 0 l 0 Z W 1 Q Y X R o P j w v S X R l b U x v Y 2 F 0 a W 9 u P j x T d G F i b G V F b n R y a W V z I C 8 + P C 9 J d G V t P j x J d G V t P j x J d G V t T G 9 j Y X R p b 2 4 + P E l 0 Z W 1 U e X B l P k Z v c m 1 1 b G E 8 L 0 l 0 Z W 1 U e X B l P j x J d G V t U G F 0 a D 5 T Z W N 0 a W 9 u M S 9 L R E E v Q W F u Z 2 V w Y X N 0 J T I w a X R l b S U y M H R v Z W d l d m 9 l Z 2 Q x N z w v S X R l b V B h d G g + P C 9 J d G V t T G 9 j Y X R p b 2 4 + P F N 0 Y W J s Z U V u d H J p Z X M g L z 4 8 L 0 l 0 Z W 0 + P E l 0 Z W 0 + P E l 0 Z W 1 M b 2 N h d G l v b j 4 8 S X R l b V R 5 c G U + R m 9 y b X V s Y T w v S X R l b V R 5 c G U + P E l 0 Z W 1 Q Y X R o P l N l Y 3 R p b 2 4 x L 0 t E Q S 9 W b 2 9 y d 2 F h c m R l b G l q a 2 U l M j B r b 2 x v b S U y M G l u Z 2 V 2 b 2 V n Z D E 3 P C 9 J d G V t U G F 0 a D 4 8 L 0 l 0 Z W 1 M b 2 N h d G l v b j 4 8 U 3 R h Y m x l R W 5 0 c m l l c y A v P j w v S X R l b T 4 8 S X R l b T 4 8 S X R l b U x v Y 2 F 0 a W 9 u P j x J d G V t V H l w Z T 5 G b 3 J t d W x h P C 9 J d G V t V H l w Z T 4 8 S X R l b V B h d G g + U 2 V j d G l v b j E v S 0 R B L 0 F h b m d l c G F z d C U y M G l 0 Z W 0 l M j B 0 b 2 V n Z X Z v Z W d k M T g 8 L 0 l 0 Z W 1 Q Y X R o P j w v S X R l b U x v Y 2 F 0 a W 9 u P j x T d G F i b G V F b n R y a W V z I C 8 + P C 9 J d G V t P j x J d G V t P j x J d G V t T G 9 j Y X R p b 2 4 + P E l 0 Z W 1 U e X B l P k Z v c m 1 1 b G E 8 L 0 l 0 Z W 1 U e X B l P j x J d G V t U G F 0 a D 5 T Z W N 0 a W 9 u M S 9 L R E E v V m 9 v c n d h Y X J k Z W x p a m t l J T I w a 2 9 s b 2 0 l M j B p b m d l d m 9 l Z 2 Q x O D w v S X R l b V B h d G g + P C 9 J d G V t T G 9 j Y X R p b 2 4 + P F N 0 Y W J s Z U V u d H J p Z X M g L z 4 8 L 0 l 0 Z W 0 + P E l 0 Z W 0 + P E l 0 Z W 1 M b 2 N h d G l v b j 4 8 S X R l b V R 5 c G U + R m 9 y b X V s Y T w v S X R l b V R 5 c G U + P E l 0 Z W 1 Q Y X R o P l N l Y 3 R p b 2 4 x L 0 t E Q S 9 B Y W 5 n Z X B h c 3 Q l M j B p d G V t J T I w d G 9 l Z 2 V 2 b 2 V n Z D E 5 P C 9 J d G V t U G F 0 a D 4 8 L 0 l 0 Z W 1 M b 2 N h d G l v b j 4 8 U 3 R h Y m x l R W 5 0 c m l l c y A v P j w v S X R l b T 4 8 S X R l b T 4 8 S X R l b U x v Y 2 F 0 a W 9 u P j x J d G V t V H l w Z T 5 G b 3 J t d W x h P C 9 J d G V t V H l w Z T 4 8 S X R l b V B h d G g + U 2 V j d G l v b j E v S 0 R B L 1 Z v b 3 J 3 Y W F y Z G V s a W p r Z S U y M G t v b G 9 t J T I w a W 5 n Z X Z v Z W d k M T k 8 L 0 l 0 Z W 1 Q Y X R o P j w v S X R l b U x v Y 2 F 0 a W 9 u P j x T d G F i b G V F b n R y a W V z I C 8 + P C 9 J d G V t P j x J d G V t P j x J d G V t T G 9 j Y X R p b 2 4 + P E l 0 Z W 1 U e X B l P k Z v c m 1 1 b G E 8 L 0 l 0 Z W 1 U e X B l P j x J d G V t U G F 0 a D 5 T Z W N 0 a W 9 u M S 9 L R E E v Q W F u Z 2 V w Y X N 0 J T I w a X R l b S U y M H R v Z W d l d m 9 l Z 2 Q y M D w v S X R l b V B h d G g + P C 9 J d G V t T G 9 j Y X R p b 2 4 + P F N 0 Y W J s Z U V u d H J p Z X M g L z 4 8 L 0 l 0 Z W 0 + P E l 0 Z W 0 + P E l 0 Z W 1 M b 2 N h d G l v b j 4 8 S X R l b V R 5 c G U + R m 9 y b X V s Y T w v S X R l b V R 5 c G U + P E l 0 Z W 1 Q Y X R o P l N l Y 3 R p b 2 4 x L 0 t E Q S 9 W b 2 9 y d 2 F h c m R l b G l q a 2 U l M j B r b 2 x v b S U y M G l u Z 2 V 2 b 2 V n Z D I w P C 9 J d G V t U G F 0 a D 4 8 L 0 l 0 Z W 1 M b 2 N h d G l v b j 4 8 U 3 R h Y m x l R W 5 0 c m l l c y A v P j w v S X R l b T 4 8 S X R l b T 4 8 S X R l b U x v Y 2 F 0 a W 9 u P j x J d G V t V H l w Z T 5 G b 3 J t d W x h P C 9 J d G V t V H l w Z T 4 8 S X R l b V B h d G g + U 2 V j d G l v b j E v S 0 R B L 0 F h b m d l c G F z d C U y M G l 0 Z W 0 l M j B 0 b 2 V n Z X Z v Z W d k M j E 8 L 0 l 0 Z W 1 Q Y X R o P j w v S X R l b U x v Y 2 F 0 a W 9 u P j x T d G F i b G V F b n R y a W V z I C 8 + P C 9 J d G V t P j x J d G V t P j x J d G V t T G 9 j Y X R p b 2 4 + P E l 0 Z W 1 U e X B l P k Z v c m 1 1 b G E 8 L 0 l 0 Z W 1 U e X B l P j x J d G V t U G F 0 a D 5 T Z W N 0 a W 9 u M S 9 L R E E v V m 9 v c n d h Y X J k Z W x p a m t l J T I w a 2 9 s b 2 0 l M j B p b m d l d m 9 l Z 2 Q y M T w v S X R l b V B h d G g + P C 9 J d G V t T G 9 j Y X R p b 2 4 + P F N 0 Y W J s Z U V u d H J p Z X M g L z 4 8 L 0 l 0 Z W 0 + P E l 0 Z W 0 + P E l 0 Z W 1 M b 2 N h d G l v b j 4 8 S X R l b V R 5 c G U + R m 9 y b X V s Y T w v S X R l b V R 5 c G U + P E l 0 Z W 1 Q Y X R o P l N l Y 3 R p b 2 4 x L 0 t E Q S 9 B Y W 5 n Z X B h c 3 Q l M j B p d G V t J T I w d G 9 l Z 2 V 2 b 2 V n Z D I y P C 9 J d G V t U G F 0 a D 4 8 L 0 l 0 Z W 1 M b 2 N h d G l v b j 4 8 U 3 R h Y m x l R W 5 0 c m l l c y A v P j w v S X R l b T 4 8 S X R l b T 4 8 S X R l b U x v Y 2 F 0 a W 9 u P j x J d G V t V H l w Z T 5 G b 3 J t d W x h P C 9 J d G V t V H l w Z T 4 8 S X R l b V B h d G g + U 2 V j d G l v b j E v S 0 R B L 1 Z v b 3 J 3 Y W F y Z G V s a W p r Z S U y M G t v b G 9 t J T I w a W 5 n Z X Z v Z W d k M j I 8 L 0 l 0 Z W 1 Q Y X R o P j w v S X R l b U x v Y 2 F 0 a W 9 u P j x T d G F i b G V F b n R y a W V z I C 8 + P C 9 J d G V t P j x J d G V t P j x J d G V t T G 9 j Y X R p b 2 4 + P E l 0 Z W 1 U e X B l P k Z v c m 1 1 b G E 8 L 0 l 0 Z W 1 U e X B l P j x J d G V t U G F 0 a D 5 T Z W N 0 a W 9 u M S 9 L R E E v Q W F u Z 2 V w Y X N 0 J T I w a X R l b S U y M H R v Z W d l d m 9 l Z 2 Q y M z w v S X R l b V B h d G g + P C 9 J d G V t T G 9 j Y X R p b 2 4 + P F N 0 Y W J s Z U V u d H J p Z X M g L z 4 8 L 0 l 0 Z W 0 + P E l 0 Z W 0 + P E l 0 Z W 1 M b 2 N h d G l v b j 4 8 S X R l b V R 5 c G U + R m 9 y b X V s Y T w v S X R l b V R 5 c G U + P E l 0 Z W 1 Q Y X R o P l N l Y 3 R p b 2 4 x L 0 t E Q S 9 W b 2 9 y d 2 F h c m R l b G l q a 2 U l M j B r b 2 x v b S U y M G l u Z 2 V 2 b 2 V n Z D I z P C 9 J d G V t U G F 0 a D 4 8 L 0 l 0 Z W 1 M b 2 N h d G l v b j 4 8 U 3 R h Y m x l R W 5 0 c m l l c y A v P j w v S X R l b T 4 8 S X R l b T 4 8 S X R l b U x v Y 2 F 0 a W 9 u P j x J d G V t V H l w Z T 5 G b 3 J t d W x h P C 9 J d G V t V H l w Z T 4 8 S X R l b V B h d G g + U 2 V j d G l v b j E v S 0 R B L 0 F h b m d l c G F z d C U y M G l 0 Z W 0 l M j B 0 b 2 V n Z X Z v Z W d k M j Q 8 L 0 l 0 Z W 1 Q Y X R o P j w v S X R l b U x v Y 2 F 0 a W 9 u P j x T d G F i b G V F b n R y a W V z I C 8 + P C 9 J d G V t P j x J d G V t P j x J d G V t T G 9 j Y X R p b 2 4 + P E l 0 Z W 1 U e X B l P k Z v c m 1 1 b G E 8 L 0 l 0 Z W 1 U e X B l P j x J d G V t U G F 0 a D 5 T Z W N 0 a W 9 u M S 9 L R E E v V m 9 v c n d h Y X J k Z W x p a m t l J T I w a 2 9 s b 2 0 l M j B p b m d l d m 9 l Z 2 Q y N D w v S X R l b V B h d G g + P C 9 J d G V t T G 9 j Y X R p b 2 4 + P F N 0 Y W J s Z U V u d H J p Z X M g L z 4 8 L 0 l 0 Z W 0 + P E l 0 Z W 0 + P E l 0 Z W 1 M b 2 N h d G l v b j 4 8 S X R l b V R 5 c G U + R m 9 y b X V s Y T w v S X R l b V R 5 c G U + P E l 0 Z W 1 Q Y X R o P l N l Y 3 R p b 2 4 x L 0 t E Q S 9 B Y W 5 n Z X B h c 3 Q l M j B p d G V t J T I w d G 9 l Z 2 V 2 b 2 V n Z D I 1 P C 9 J d G V t U G F 0 a D 4 8 L 0 l 0 Z W 1 M b 2 N h d G l v b j 4 8 U 3 R h Y m x l R W 5 0 c m l l c y A v P j w v S X R l b T 4 8 S X R l b T 4 8 S X R l b U x v Y 2 F 0 a W 9 u P j x J d G V t V H l w Z T 5 G b 3 J t d W x h P C 9 J d G V t V H l w Z T 4 8 S X R l b V B h d G g + U 2 V j d G l v b j E v S 0 R B L 1 Z v b 3 J 3 Y W F y Z G V s a W p r Z S U y M G t v b G 9 t J T I w a W 5 n Z X Z v Z W d k M j U 8 L 0 l 0 Z W 1 Q Y X R o P j w v S X R l b U x v Y 2 F 0 a W 9 u P j x T d G F i b G V F b n R y a W V z I C 8 + P C 9 J d G V t P j x J d G V t P j x J d G V t T G 9 j Y X R p b 2 4 + P E l 0 Z W 1 U e X B l P k Z v c m 1 1 b G E 8 L 0 l 0 Z W 1 U e X B l P j x J d G V t U G F 0 a D 5 T Z W N 0 a W 9 u M S 9 L R E E v Q W F u Z 2 V w Y X N 0 J T I w a X R l b S U y M H R v Z W d l d m 9 l Z 2 Q y N j w v S X R l b V B h d G g + P C 9 J d G V t T G 9 j Y X R p b 2 4 + P F N 0 Y W J s Z U V u d H J p Z X M g L z 4 8 L 0 l 0 Z W 0 + P E l 0 Z W 0 + P E l 0 Z W 1 M b 2 N h d G l v b j 4 8 S X R l b V R 5 c G U + R m 9 y b X V s Y T w v S X R l b V R 5 c G U + P E l 0 Z W 1 Q Y X R o P l N l Y 3 R p b 2 4 x L 0 t E Q S 9 W b 2 9 y d 2 F h c m R l b G l q a 2 U l M j B r b 2 x v b S U y M G l u Z 2 V 2 b 2 V n Z D I 2 P C 9 J d G V t U G F 0 a D 4 8 L 0 l 0 Z W 1 M b 2 N h d G l v b j 4 8 U 3 R h Y m x l R W 5 0 c m l l c y A v P j w v S X R l b T 4 8 S X R l b T 4 8 S X R l b U x v Y 2 F 0 a W 9 u P j x J d G V t V H l w Z T 5 G b 3 J t d W x h P C 9 J d G V t V H l w Z T 4 8 S X R l b V B h d G g + U 2 V j d G l v b j E v S 0 R B L 0 F h b m d l c G F z d C U y M G l 0 Z W 0 l M j B 0 b 2 V n Z X Z v Z W d k M j c 8 L 0 l 0 Z W 1 Q Y X R o P j w v S X R l b U x v Y 2 F 0 a W 9 u P j x T d G F i b G V F b n R y a W V z I C 8 + P C 9 J d G V t P j x J d G V t P j x J d G V t T G 9 j Y X R p b 2 4 + P E l 0 Z W 1 U e X B l P k Z v c m 1 1 b G E 8 L 0 l 0 Z W 1 U e X B l P j x J d G V t U G F 0 a D 5 T Z W N 0 a W 9 u M S 9 L R E E v V m 9 v c n d h Y X J k Z W x p a m t l J T I w a 2 9 s b 2 0 l M j B p b m d l d m 9 l Z 2 Q y N z w v S X R l b V B h d G g + P C 9 J d G V t T G 9 j Y X R p b 2 4 + P F N 0 Y W J s Z U V u d H J p Z X M g L z 4 8 L 0 l 0 Z W 0 + P E l 0 Z W 0 + P E l 0 Z W 1 M b 2 N h d G l v b j 4 8 S X R l b V R 5 c G U + R m 9 y b X V s Y T w v S X R l b V R 5 c G U + P E l 0 Z W 1 Q Y X R o P l N l Y 3 R p b 2 4 x L 0 t E Q S 9 B Y W 5 n Z X B h c 3 Q l M j B p d G V t J T I w d G 9 l Z 2 V 2 b 2 V n Z D I 4 P C 9 J d G V t U G F 0 a D 4 8 L 0 l 0 Z W 1 M b 2 N h d G l v b j 4 8 U 3 R h Y m x l R W 5 0 c m l l c y A v P j w v S X R l b T 4 8 S X R l b T 4 8 S X R l b U x v Y 2 F 0 a W 9 u P j x J d G V t V H l w Z T 5 G b 3 J t d W x h P C 9 J d G V t V H l w Z T 4 8 S X R l b V B h d G g + U 2 V j d G l v b j E v S 0 R B L 1 Z v b 3 J 3 Y W F y Z G V s a W p r Z S U y M G t v b G 9 t J T I w a W 5 n Z X Z v Z W d k M j g 8 L 0 l 0 Z W 1 Q Y X R o P j w v S X R l b U x v Y 2 F 0 a W 9 u P j x T d G F i b G V F b n R y a W V z I C 8 + P C 9 J d G V t P j x J d G V t P j x J d G V t T G 9 j Y X R p b 2 4 + P E l 0 Z W 1 U e X B l P k Z v c m 1 1 b G E 8 L 0 l 0 Z W 1 U e X B l P j x J d G V t U G F 0 a D 5 T Z W N 0 a W 9 u M S 9 L R E E v Q W F u Z 2 V w Y X N 0 J T I w a X R l b S U y M H R v Z W d l d m 9 l Z 2 Q y O T w v S X R l b V B h d G g + P C 9 J d G V t T G 9 j Y X R p b 2 4 + P F N 0 Y W J s Z U V u d H J p Z X M g L z 4 8 L 0 l 0 Z W 0 + P E l 0 Z W 0 + P E l 0 Z W 1 M b 2 N h d G l v b j 4 8 S X R l b V R 5 c G U + R m 9 y b X V s Y T w v S X R l b V R 5 c G U + P E l 0 Z W 1 Q Y X R o P l N l Y 3 R p b 2 4 x L 0 t E Q S 9 W b 2 9 y d 2 F h c m R l b G l q a 2 U l M j B r b 2 x v b S U y M G l u Z 2 V 2 b 2 V n Z D I 5 P C 9 J d G V t U G F 0 a D 4 8 L 0 l 0 Z W 1 M b 2 N h d G l v b j 4 8 U 3 R h Y m x l R W 5 0 c m l l c y A v P j w v S X R l b T 4 8 S X R l b T 4 8 S X R l b U x v Y 2 F 0 a W 9 u P j x J d G V t V H l w Z T 5 G b 3 J t d W x h P C 9 J d G V t V H l w Z T 4 8 S X R l b V B h d G g + U 2 V j d G l v b j E v S 0 R B L 0 F h b m d l c G F z d C U y M G l 0 Z W 0 l M j B 0 b 2 V n Z X Z v Z W d k M z A 8 L 0 l 0 Z W 1 Q Y X R o P j w v S X R l b U x v Y 2 F 0 a W 9 u P j x T d G F i b G V F b n R y a W V z I C 8 + P C 9 J d G V t P j x J d G V t P j x J d G V t T G 9 j Y X R p b 2 4 + P E l 0 Z W 1 U e X B l P k Z v c m 1 1 b G E 8 L 0 l 0 Z W 1 U e X B l P j x J d G V t U G F 0 a D 5 T Z W N 0 a W 9 u M S 9 L R E E v Q W F u Z 2 V w Y X N 0 J T I w a X R l b S U y M H R v Z W d l d m 9 l Z 2 Q z M T w v S X R l b V B h d G g + P C 9 J d G V t T G 9 j Y X R p b 2 4 + P F N 0 Y W J s Z U V u d H J p Z X M g L z 4 8 L 0 l 0 Z W 0 + P E l 0 Z W 0 + P E l 0 Z W 1 M b 2 N h d G l v b j 4 8 S X R l b V R 5 c G U + R m 9 y b X V s Y T w v S X R l b V R 5 c G U + P E l 0 Z W 1 Q Y X R o P l N l Y 3 R p b 2 4 x L 0 t E Q S 9 B Y W 5 n Z X B h c 3 Q l M j B p d G V t J T I w d G 9 l Z 2 V 2 b 2 V n Z D M y P C 9 J d G V t U G F 0 a D 4 8 L 0 l 0 Z W 1 M b 2 N h d G l v b j 4 8 U 3 R h Y m x l R W 5 0 c m l l c y A v P j w v S X R l b T 4 8 S X R l b T 4 8 S X R l b U x v Y 2 F 0 a W 9 u P j x J d G V t V H l w Z T 5 G b 3 J t d W x h P C 9 J d G V t V H l w Z T 4 8 S X R l b V B h d G g + U 2 V j d G l v b j E v S 0 R B L 0 5 h b W V u J T I w d m F u J T I w a 2 9 s b 2 1 t Z W 4 l M j B n Z X d p a n p p Z 2 Q l M j A x P C 9 J d G V t U G F 0 a D 4 8 L 0 l 0 Z W 1 M b 2 N h d G l v b j 4 8 U 3 R h Y m x l R W 5 0 c m l l c y A v P j w v S X R l b T 4 8 S X R l b T 4 8 S X R l b U x v Y 2 F 0 a W 9 u P j x J d G V t V H l w Z T 5 G b 3 J t d W x h P C 9 J d G V t V H l w Z T 4 8 S X R l b V B h d G g + U 2 V j d G l v b j E v S 0 R B L 0 5 h b W V u J T I w d m F u J T I w a 2 9 s b 2 1 t Z W 4 l M j B n Z X d p a n p p Z 2 Q l M j A y P C 9 J d G V t U G F 0 a D 4 8 L 0 l 0 Z W 1 M b 2 N h d G l v b j 4 8 U 3 R h Y m x l R W 5 0 c m l l c y A v P j w v S X R l b T 4 8 S X R l b T 4 8 S X R l b U x v Y 2 F 0 a W 9 u P j x J d G V t V H l w Z T 5 G b 3 J t d W x h P C 9 J d G V t V H l w Z T 4 8 S X R l b V B h d G g + U 2 V j d G l v b j E v S 0 R B L 0 t v b G 9 t b W V u J T I w d m V y d 2 l q Z G V y Z D w v S X R l b V B h d G g + P C 9 J d G V t T G 9 j Y X R p b 2 4 + P F N 0 Y W J s Z U V u d H J p Z X M g L z 4 8 L 0 l 0 Z W 0 + P E l 0 Z W 0 + P E l 0 Z W 1 M b 2 N h d G l v b j 4 8 S X R l b V R 5 c G U + R m 9 y b X V s Y T w v S X R l b V R 5 c G U + P E l 0 Z W 1 Q Y X R o P l N l Y 3 R p b 2 4 x L 0 t E Q S 9 L b 2 x v b W 1 l b i U y M H Z l c n d p a m R l c m Q l M j A x P C 9 J d G V t U G F 0 a D 4 8 L 0 l 0 Z W 1 M b 2 N h d G l v b j 4 8 U 3 R h Y m x l R W 5 0 c m l l c y A v P j w v S X R l b T 4 8 S X R l b T 4 8 S X R l b U x v Y 2 F 0 a W 9 u P j x J d G V t V H l w Z T 5 G b 3 J t d W x h P C 9 J d G V t V H l w Z T 4 8 S X R l b V B h d G g + U 2 V j d G l v b j E v S 0 R B L 0 F h b m d l c G F z d C U y M G l 0 Z W 0 l M j B 0 b 2 V n Z X Z v Z W d k M z M 8 L 0 l 0 Z W 1 Q Y X R o P j w v S X R l b U x v Y 2 F 0 a W 9 u P j x T d G F i b G V F b n R y a W V z I C 8 + P C 9 J d G V t P j x J d G V t P j x J d G V t T G 9 j Y X R p b 2 4 + P E l 0 Z W 1 U e X B l P k Z v c m 1 1 b G E 8 L 0 l 0 Z W 1 U e X B l P j x J d G V t U G F 0 a D 5 T Z W N 0 a W 9 u M S 9 L R E E v Q W F u Z 2 V w Y X N 0 J T I w a X R l b S U y M H R v Z W d l d m 9 l Z 2 Q z N D w v S X R l b V B h d G g + P C 9 J d G V t T G 9 j Y X R p b 2 4 + P F N 0 Y W J s Z U V u d H J p Z X M g L z 4 8 L 0 l 0 Z W 0 + P E l 0 Z W 0 + P E l 0 Z W 1 M b 2 N h d G l v b j 4 8 S X R l b V R 5 c G U + R m 9 y b X V s Y T w v S X R l b V R 5 c G U + P E l 0 Z W 1 Q Y X R o P l N l Y 3 R p b 2 4 x L 0 t E Q S 9 B Y W 5 n Z X B h c 3 Q l M j B p d G V t J T I w d G 9 l Z 2 V 2 b 2 V n Z D M 1 P C 9 J d G V t U G F 0 a D 4 8 L 0 l 0 Z W 1 M b 2 N h d G l v b j 4 8 U 3 R h Y m x l R W 5 0 c m l l c y A v P j w v S X R l b T 4 8 S X R l b T 4 8 S X R l b U x v Y 2 F 0 a W 9 u P j x J d G V t V H l w Z T 5 G b 3 J t d W x h P C 9 J d G V t V H l w Z T 4 8 S X R l b V B h d G g + U 2 V j d G l v b j E v S 0 R B L 0 F h b m d l c G F z d C U y M G l 0 Z W 0 l M j B 0 b 2 V n Z X Z v Z W d k M z Y 8 L 0 l 0 Z W 1 Q Y X R o P j w v S X R l b U x v Y 2 F 0 a W 9 u P j x T d G F i b G V F b n R y a W V z I C 8 + P C 9 J d G V t P j x J d G V t P j x J d G V t T G 9 j Y X R p b 2 4 + P E l 0 Z W 1 U e X B l P k Z v c m 1 1 b G E 8 L 0 l 0 Z W 1 U e X B l P j x J d G V t U G F 0 a D 5 T Z W N 0 a W 9 u M S 9 L R E E v Q W F u Z 2 V w Y X N 0 J T I w a X R l b S U y M H R v Z W d l d m 9 l Z 2 Q z N z w v S X R l b V B h d G g + P C 9 J d G V t T G 9 j Y X R p b 2 4 + P F N 0 Y W J s Z U V u d H J p Z X M g L z 4 8 L 0 l 0 Z W 0 + P E l 0 Z W 0 + P E l 0 Z W 1 M b 2 N h d G l v b j 4 8 S X R l b V R 5 c G U + R m 9 y b X V s Y T w v S X R l b V R 5 c G U + P E l 0 Z W 1 Q Y X R o P l N l Y 3 R p b 2 4 x L 0 t E Q S 9 B Y W 5 n Z X B h c 3 Q l M j B p d G V t J T I w d G 9 l Z 2 V 2 b 2 V n Z D M 4 P C 9 J d G V t U G F 0 a D 4 8 L 0 l 0 Z W 1 M b 2 N h d G l v b j 4 8 U 3 R h Y m x l R W 5 0 c m l l c y A v P j w v S X R l b T 4 8 S X R l b T 4 8 S X R l b U x v Y 2 F 0 a W 9 u P j x J d G V t V H l w Z T 5 G b 3 J t d W x h P C 9 J d G V t V H l w Z T 4 8 S X R l b V B h d G g + U 2 V j d G l v b j E v S 0 R B L 0 F h b m d l c G F z d C U y M G l 0 Z W 0 l M j B 0 b 2 V n Z X Z v Z W d k M z k 8 L 0 l 0 Z W 1 Q Y X R o P j w v S X R l b U x v Y 2 F 0 a W 9 u P j x T d G F i b G V F b n R y a W V z I C 8 + P C 9 J d G V t P j x J d G V t P j x J d G V t T G 9 j Y X R p b 2 4 + P E l 0 Z W 1 U e X B l P k Z v c m 1 1 b G E 8 L 0 l 0 Z W 1 U e X B l P j x J d G V t U G F 0 a D 5 T Z W N 0 a W 9 u M S 9 L R E E v Q W F u Z 2 V w Y X N 0 J T I w a X R l b S U y M H R v Z W d l d m 9 l Z 2 Q 0 M D w v S X R l b V B h d G g + P C 9 J d G V t T G 9 j Y X R p b 2 4 + P F N 0 Y W J s Z U V u d H J p Z X M g L z 4 8 L 0 l 0 Z W 0 + P E l 0 Z W 0 + P E l 0 Z W 1 M b 2 N h d G l v b j 4 8 S X R l b V R 5 c G U + R m 9 y b X V s Y T w v S X R l b V R 5 c G U + P E l 0 Z W 1 Q Y X R o P l N l Y 3 R p b 2 4 x L 0 t E Q S 9 B Y W 5 n Z X B h c 3 Q l M j B p d G V t J T I w d G 9 l Z 2 V 2 b 2 V n Z D Q x P C 9 J d G V t U G F 0 a D 4 8 L 0 l 0 Z W 1 M b 2 N h d G l v b j 4 8 U 3 R h Y m x l R W 5 0 c m l l c y A v P j w v S X R l b T 4 8 S X R l b T 4 8 S X R l b U x v Y 2 F 0 a W 9 u P j x J d G V t V H l w Z T 5 G b 3 J t d W x h P C 9 J d G V t V H l w Z T 4 8 S X R l b V B h d G g + U 2 V j d G l v b j E v S 0 R B L 0 F h b m d l c G F z d C U y M G l 0 Z W 0 l M j B 0 b 2 V n Z X Z v Z W d k N D I 8 L 0 l 0 Z W 1 Q Y X R o P j w v S X R l b U x v Y 2 F 0 a W 9 u P j x T d G F i b G V F b n R y a W V z I C 8 + P C 9 J d G V t P j x J d G V t P j x J d G V t T G 9 j Y X R p b 2 4 + P E l 0 Z W 1 U e X B l P k Z v c m 1 1 b G E 8 L 0 l 0 Z W 1 U e X B l P j x J d G V t U G F 0 a D 5 T Z W N 0 a W 9 u M S 9 L R E E v Q W F u Z 2 V w Y X N 0 J T I w a X R l b S U y M H R v Z W d l d m 9 l Z 2 Q 0 M z w v S X R l b V B h d G g + P C 9 J d G V t T G 9 j Y X R p b 2 4 + P F N 0 Y W J s Z U V u d H J p Z X M g L z 4 8 L 0 l 0 Z W 0 + P E l 0 Z W 0 + P E l 0 Z W 1 M b 2 N h d G l v b j 4 8 S X R l b V R 5 c G U + R m 9 y b X V s Y T w v S X R l b V R 5 c G U + P E l 0 Z W 1 Q Y X R o P l N l Y 3 R p b 2 4 x L 0 t E Q S 9 B Y W 5 n Z X B h c 3 Q l M j B p d G V t J T I w d G 9 l Z 2 V 2 b 2 V n Z D Q 0 P C 9 J d G V t U G F 0 a D 4 8 L 0 l 0 Z W 1 M b 2 N h d G l v b j 4 8 U 3 R h Y m x l R W 5 0 c m l l c y A v P j w v S X R l b T 4 8 S X R l b T 4 8 S X R l b U x v Y 2 F 0 a W 9 u P j x J d G V t V H l w Z T 5 G b 3 J t d W x h P C 9 J d G V t V H l w Z T 4 8 S X R l b V B h d G g + U 2 V j d G l v b j E v S 0 R B L 0 F h b m d l c G F z d C U y M G l 0 Z W 0 l M j B 0 b 2 V n Z X Z v Z W d k N D U 8 L 0 l 0 Z W 1 Q Y X R o P j w v S X R l b U x v Y 2 F 0 a W 9 u P j x T d G F i b G V F b n R y a W V z I C 8 + P C 9 J d G V t P j x J d G V t P j x J d G V t T G 9 j Y X R p b 2 4 + P E l 0 Z W 1 U e X B l P k Z v c m 1 1 b G E 8 L 0 l 0 Z W 1 U e X B l P j x J d G V t U G F 0 a D 5 T Z W N 0 a W 9 u M S 9 L R E E v Q W F u Z 2 V w Y X N 0 J T I w a X R l b S U y M H R v Z W d l d m 9 l Z 2 Q 0 N j w v S X R l b V B h d G g + P C 9 J d G V t T G 9 j Y X R p b 2 4 + P F N 0 Y W J s Z U V u d H J p Z X M g L z 4 8 L 0 l 0 Z W 0 + P E l 0 Z W 0 + P E l 0 Z W 1 M b 2 N h d G l v b j 4 8 S X R l b V R 5 c G U + R m 9 y b X V s Y T w v S X R l b V R 5 c G U + P E l 0 Z W 1 Q Y X R o P l N l Y 3 R p b 2 4 x L 0 t E Q S 9 B Y W 5 n Z X B h c 3 Q l M j B p d G V t J T I w d G 9 l Z 2 V 2 b 2 V n Z D Q 3 P C 9 J d G V t U G F 0 a D 4 8 L 0 l 0 Z W 1 M b 2 N h d G l v b j 4 8 U 3 R h Y m x l R W 5 0 c m l l c y A v P j w v S X R l b T 4 8 S X R l b T 4 8 S X R l b U x v Y 2 F 0 a W 9 u P j x J d G V t V H l w Z T 5 G b 3 J t d W x h P C 9 J d G V t V H l w Z T 4 8 S X R l b V B h d G g + U 2 V j d G l v b j E v S 0 R B L 0 F h b m d l c G F z d C U y M G l 0 Z W 0 l M j B 0 b 2 V n Z X Z v Z W d k N D g 8 L 0 l 0 Z W 1 Q Y X R o P j w v S X R l b U x v Y 2 F 0 a W 9 u P j x T d G F i b G V F b n R y a W V z I C 8 + P C 9 J d G V t P j x J d G V t P j x J d G V t T G 9 j Y X R p b 2 4 + P E l 0 Z W 1 U e X B l P k Z v c m 1 1 b G E 8 L 0 l 0 Z W 1 U e X B l P j x J d G V t U G F 0 a D 5 T Z W N 0 a W 9 u M S 9 L R E E v Q W F u Z 2 V w Y X N 0 J T I w a X R l b S U y M H R v Z W d l d m 9 l Z 2 Q 0 O T w v S X R l b V B h d G g + P C 9 J d G V t T G 9 j Y X R p b 2 4 + P F N 0 Y W J s Z U V u d H J p Z X M g L z 4 8 L 0 l 0 Z W 0 + P E l 0 Z W 0 + P E l 0 Z W 1 M b 2 N h d G l v b j 4 8 S X R l b V R 5 c G U + R m 9 y b X V s Y T w v S X R l b V R 5 c G U + P E l 0 Z W 1 Q Y X R o P l N l Y 3 R p b 2 4 x L 0 t E Q S 9 B Y W 5 n Z X B h c 3 Q l M j B p d G V t J T I w d G 9 l Z 2 V 2 b 2 V n Z D U w P C 9 J d G V t U G F 0 a D 4 8 L 0 l 0 Z W 1 M b 2 N h d G l v b j 4 8 U 3 R h Y m x l R W 5 0 c m l l c y A v P j w v S X R l b T 4 8 S X R l b T 4 8 S X R l b U x v Y 2 F 0 a W 9 u P j x J d G V t V H l w Z T 5 G b 3 J t d W x h P C 9 J d G V t V H l w Z T 4 8 S X R l b V B h d G g + U 2 V j d G l v b j E v S 0 R B L 0 F h b m d l c G F z d C U y M G l 0 Z W 0 l M j B 0 b 2 V n Z X Z v Z W d k N T E 8 L 0 l 0 Z W 1 Q Y X R o P j w v S X R l b U x v Y 2 F 0 a W 9 u P j x T d G F i b G V F b n R y a W V z I C 8 + P C 9 J d G V t P j x J d G V t P j x J d G V t T G 9 j Y X R p b 2 4 + P E l 0 Z W 1 U e X B l P k Z v c m 1 1 b G E 8 L 0 l 0 Z W 1 U e X B l P j x J d G V t U G F 0 a D 5 T Z W N 0 a W 9 u M S 9 L R E E v Q W F u Z 2 V w Y X N 0 J T I w a X R l b S U y M H R v Z W d l d m 9 l Z 2 Q 1 M j w v S X R l b V B h d G g + P C 9 J d G V t T G 9 j Y X R p b 2 4 + P F N 0 Y W J s Z U V u d H J p Z X M g L z 4 8 L 0 l 0 Z W 0 + P E l 0 Z W 0 + P E l 0 Z W 1 M b 2 N h d G l v b j 4 8 S X R l b V R 5 c G U + R m 9 y b X V s Y T w v S X R l b V R 5 c G U + P E l 0 Z W 1 Q Y X R o P l N l Y 3 R p b 2 4 x L 0 t E Q S 9 B Y W 5 n Z X B h c 3 Q l M j B p d G V t J T I w d G 9 l Z 2 V 2 b 2 V n Z D U z P C 9 J d G V t U G F 0 a D 4 8 L 0 l 0 Z W 1 M b 2 N h d G l v b j 4 8 U 3 R h Y m x l R W 5 0 c m l l c y A v P j w v S X R l b T 4 8 S X R l b T 4 8 S X R l b U x v Y 2 F 0 a W 9 u P j x J d G V t V H l w Z T 5 G b 3 J t d W x h P C 9 J d G V t V H l w Z T 4 8 S X R l b V B h d G g + U 2 V j d G l v b j E v S 0 R B L 0 F h b m d l c G F z d C U y M G l 0 Z W 0 l M j B 0 b 2 V n Z X Z v Z W d k N T Q 8 L 0 l 0 Z W 1 Q Y X R o P j w v S X R l b U x v Y 2 F 0 a W 9 u P j x T d G F i b G V F b n R y a W V z I C 8 + P C 9 J d G V t P j x J d G V t P j x J d G V t T G 9 j Y X R p b 2 4 + P E l 0 Z W 1 U e X B l P k Z v c m 1 1 b G E 8 L 0 l 0 Z W 1 U e X B l P j x J d G V t U G F 0 a D 5 T Z W N 0 a W 9 u M S 9 L R E E v Q W F u Z 2 V w Y X N 0 J T I w a X R l b S U y M H R v Z W d l d m 9 l Z 2 Q 1 N T w v S X R l b V B h d G g + P C 9 J d G V t T G 9 j Y X R p b 2 4 + P F N 0 Y W J s Z U V u d H J p Z X M g L z 4 8 L 0 l 0 Z W 0 + P E l 0 Z W 0 + P E l 0 Z W 1 M b 2 N h d G l v b j 4 8 S X R l b V R 5 c G U + R m 9 y b X V s Y T w v S X R l b V R 5 c G U + P E l 0 Z W 1 Q Y X R o P l N l Y 3 R p b 2 4 x L 0 t E Q S 9 B Y W 5 n Z X B h c 3 Q l M j B p d G V t J T I w d G 9 l Z 2 V 2 b 2 V n Z D U 2 P C 9 J d G V t U G F 0 a D 4 8 L 0 l 0 Z W 1 M b 2 N h d G l v b j 4 8 U 3 R h Y m x l R W 5 0 c m l l c y A v P j w v S X R l b T 4 8 S X R l b T 4 8 S X R l b U x v Y 2 F 0 a W 9 u P j x J d G V t V H l w Z T 5 G b 3 J t d W x h P C 9 J d G V t V H l w Z T 4 8 S X R l b V B h d G g + U 2 V j d G l v b j E v S 0 R B L 0 F h b m d l c G F z d C U y M G l 0 Z W 0 l M j B 0 b 2 V n Z X Z v Z W d k N T c 8 L 0 l 0 Z W 1 Q Y X R o P j w v S X R l b U x v Y 2 F 0 a W 9 u P j x T d G F i b G V F b n R y a W V z I C 8 + P C 9 J d G V t P j x J d G V t P j x J d G V t T G 9 j Y X R p b 2 4 + P E l 0 Z W 1 U e X B l P k Z v c m 1 1 b G E 8 L 0 l 0 Z W 1 U e X B l P j x J d G V t U G F 0 a D 5 T Z W N 0 a W 9 u M S 9 L R E E v Q W F u Z 2 V w Y X N 0 J T I w a X R l b S U y M H R v Z W d l d m 9 l Z 2 Q 1 O D w v S X R l b V B h d G g + P C 9 J d G V t T G 9 j Y X R p b 2 4 + P F N 0 Y W J s Z U V u d H J p Z X M g L z 4 8 L 0 l 0 Z W 0 + P E l 0 Z W 0 + P E l 0 Z W 1 M b 2 N h d G l v b j 4 8 S X R l b V R 5 c G U + R m 9 y b X V s Y T w v S X R l b V R 5 c G U + P E l 0 Z W 1 Q Y X R o P l N l Y 3 R p b 2 4 x L 0 t E Q S 9 B Y W 5 n Z X B h c 3 Q l M j B p d G V t J T I w d G 9 l Z 2 V 2 b 2 V n Z D U 5 P C 9 J d G V t U G F 0 a D 4 8 L 0 l 0 Z W 1 M b 2 N h d G l v b j 4 8 U 3 R h Y m x l R W 5 0 c m l l c y A v P j w v S X R l b T 4 8 S X R l b T 4 8 S X R l b U x v Y 2 F 0 a W 9 u P j x J d G V t V H l w Z T 5 G b 3 J t d W x h P C 9 J d G V t V H l w Z T 4 8 S X R l b V B h d G g + U 2 V j d G l v b j E v S 0 R B L 0 F h b m d l c G F z d C U y M G l 0 Z W 0 l M j B 0 b 2 V n Z X Z v Z W d k N j A 8 L 0 l 0 Z W 1 Q Y X R o P j w v S X R l b U x v Y 2 F 0 a W 9 u P j x T d G F i b G V F b n R y a W V z I C 8 + P C 9 J d G V t P j x J d G V t P j x J d G V t T G 9 j Y X R p b 2 4 + P E l 0 Z W 1 U e X B l P k Z v c m 1 1 b G E 8 L 0 l 0 Z W 1 U e X B l P j x J d G V t U G F 0 a D 5 T Z W N 0 a W 9 u M S 9 L R E E v Q W F u Z 2 V w Y X N 0 J T I w a X R l b S U y M H R v Z W d l d m 9 l Z 2 Q 2 M T w v S X R l b V B h d G g + P C 9 J d G V t T G 9 j Y X R p b 2 4 + P F N 0 Y W J s Z U V u d H J p Z X M g L z 4 8 L 0 l 0 Z W 0 + P E l 0 Z W 0 + P E l 0 Z W 1 M b 2 N h d G l v b j 4 8 S X R l b V R 5 c G U + R m 9 y b X V s Y T w v S X R l b V R 5 c G U + P E l 0 Z W 1 Q Y X R o P l N l Y 3 R p b 2 4 x L 0 t E Q S 9 B Y W 5 n Z X B h c 3 Q l M j B p d G V t J T I w d G 9 l Z 2 V 2 b 2 V n Z D Y y P C 9 J d G V t U G F 0 a D 4 8 L 0 l 0 Z W 1 M b 2 N h d G l v b j 4 8 U 3 R h Y m x l R W 5 0 c m l l c y A v P j w v S X R l b T 4 8 S X R l b T 4 8 S X R l b U x v Y 2 F 0 a W 9 u P j x J d G V t V H l w Z T 5 G b 3 J t d W x h P C 9 J d G V t V H l w Z T 4 8 S X R l b V B h d G g + U 2 V j d G l v b j E v S 0 R B L 1 Z v b 3 J 3 Y W F y Z G V s a W p r Z S U y M G t v b G 9 t J T I w a W 5 n Z X Z v Z W d k M z A 8 L 0 l 0 Z W 1 Q Y X R o P j w v S X R l b U x v Y 2 F 0 a W 9 u P j x T d G F i b G V F b n R y a W V z I C 8 + P C 9 J d G V t P j x J d G V t P j x J d G V t T G 9 j Y X R p b 2 4 + P E l 0 Z W 1 U e X B l P k Z v c m 1 1 b G E 8 L 0 l 0 Z W 1 U e X B l P j x J d G V t U G F 0 a D 5 T Z W N 0 a W 9 u M S 9 L R E E v V m 9 v c n d h Y X J k Z W x p a m t l J T I w a 2 9 s b 2 0 l M j B p b m d l d m 9 l Z 2 Q z M T w v S X R l b V B h d G g + P C 9 J d G V t T G 9 j Y X R p b 2 4 + P F N 0 Y W J s Z U V u d H J p Z X M g L z 4 8 L 0 l 0 Z W 0 + P E l 0 Z W 0 + P E l 0 Z W 1 M b 2 N h d G l v b j 4 8 S X R l b V R 5 c G U + R m 9 y b X V s Y T w v S X R l b V R 5 c G U + P E l 0 Z W 1 Q Y X R o P l N l Y 3 R p b 2 4 x L 0 t E Q S 9 W b 2 9 y d 2 F h c m R l b G l q a 2 U l M j B r b 2 x v b S U y M G l u Z 2 V 2 b 2 V n Z D M y P C 9 J d G V t U G F 0 a D 4 8 L 0 l 0 Z W 1 M b 2 N h d G l v b j 4 8 U 3 R h Y m x l R W 5 0 c m l l c y A v P j w v S X R l b T 4 8 S X R l b T 4 8 S X R l b U x v Y 2 F 0 a W 9 u P j x J d G V t V H l w Z T 5 G b 3 J t d W x h P C 9 J d G V t V H l w Z T 4 8 S X R l b V B h d G g + U 2 V j d G l v b j E v S 0 R B L 1 Z v b 3 J 3 Y W F y Z G V s a W p r Z S U y M G t v b G 9 t J T I w a W 5 n Z X Z v Z W d k M z M 8 L 0 l 0 Z W 1 Q Y X R o P j w v S X R l b U x v Y 2 F 0 a W 9 u P j x T d G F i b G V F b n R y a W V z I C 8 + P C 9 J d G V t P j x J d G V t P j x J d G V t T G 9 j Y X R p b 2 4 + P E l 0 Z W 1 U e X B l P k Z v c m 1 1 b G E 8 L 0 l 0 Z W 1 U e X B l P j x J d G V t U G F 0 a D 5 T Z W N 0 a W 9 u M S 9 L R E E v V m 9 v c n d h Y X J k Z W x p a m t l J T I w a 2 9 s b 2 0 l M j B p b m d l d m 9 l Z 2 Q z N D w v S X R l b V B h d G g + P C 9 J d G V t T G 9 j Y X R p b 2 4 + P F N 0 Y W J s Z U V u d H J p Z X M g L z 4 8 L 0 l 0 Z W 0 + P E l 0 Z W 0 + P E l 0 Z W 1 M b 2 N h d G l v b j 4 8 S X R l b V R 5 c G U + R m 9 y b X V s Y T w v S X R l b V R 5 c G U + P E l 0 Z W 1 Q Y X R o P l N l Y 3 R p b 2 4 x L 0 t E Q S 9 W b 2 9 y d 2 F h c m R l b G l q a 2 U l M j B r b 2 x v b S U y M G l u Z 2 V 2 b 2 V n Z D M 1 P C 9 J d G V t U G F 0 a D 4 8 L 0 l 0 Z W 1 M b 2 N h d G l v b j 4 8 U 3 R h Y m x l R W 5 0 c m l l c y A v P j w v S X R l b T 4 8 S X R l b T 4 8 S X R l b U x v Y 2 F 0 a W 9 u P j x J d G V t V H l w Z T 5 G b 3 J t d W x h P C 9 J d G V t V H l w Z T 4 8 S X R l b V B h d G g + U 2 V j d G l v b j E v S 0 R B L 1 Z v b 3 J 3 Y W F y Z G V s a W p r Z S U y M G t v b G 9 t J T I w a W 5 n Z X Z v Z W d k M z Y 8 L 0 l 0 Z W 1 Q Y X R o P j w v S X R l b U x v Y 2 F 0 a W 9 u P j x T d G F i b G V F b n R y a W V z I C 8 + P C 9 J d G V t P j x J d G V t P j x J d G V t T G 9 j Y X R p b 2 4 + P E l 0 Z W 1 U e X B l P k Z v c m 1 1 b G E 8 L 0 l 0 Z W 1 U e X B l P j x J d G V t U G F 0 a D 5 T Z W N 0 a W 9 u M S 9 L R E E v V m 9 v c n d h Y X J k Z W x p a m t l J T I w a 2 9 s b 2 0 l M j B p b m d l d m 9 l Z 2 Q z N z w v S X R l b V B h d G g + P C 9 J d G V t T G 9 j Y X R p b 2 4 + P F N 0 Y W J s Z U V u d H J p Z X M g L z 4 8 L 0 l 0 Z W 0 + P E l 0 Z W 0 + P E l 0 Z W 1 M b 2 N h d G l v b j 4 8 S X R l b V R 5 c G U + R m 9 y b X V s Y T w v S X R l b V R 5 c G U + P E l 0 Z W 1 Q Y X R o P l N l Y 3 R p b 2 4 x L 0 t E Q S 9 W b 2 9 y d 2 F h c m R l b G l q a 2 U l M j B r b 2 x v b S U y M G l u Z 2 V 2 b 2 V n Z D M 4 P C 9 J d G V t U G F 0 a D 4 8 L 0 l 0 Z W 1 M b 2 N h d G l v b j 4 8 U 3 R h Y m x l R W 5 0 c m l l c y A v P j w v S X R l b T 4 8 S X R l b T 4 8 S X R l b U x v Y 2 F 0 a W 9 u P j x J d G V t V H l w Z T 5 G b 3 J t d W x h P C 9 J d G V t V H l w Z T 4 8 S X R l b V B h d G g + U 2 V j d G l v b j E v S 0 R B L 1 Z v b 3 J 3 Y W F y Z G V s a W p r Z S U y M G t v b G 9 t J T I w a W 5 n Z X Z v Z W d k M z k 8 L 0 l 0 Z W 1 Q Y X R o P j w v S X R l b U x v Y 2 F 0 a W 9 u P j x T d G F i b G V F b n R y a W V z I C 8 + P C 9 J d G V t P j x J d G V t P j x J d G V t T G 9 j Y X R p b 2 4 + P E l 0 Z W 1 U e X B l P k Z v c m 1 1 b G E 8 L 0 l 0 Z W 1 U e X B l P j x J d G V t U G F 0 a D 5 T Z W N 0 a W 9 u M S 9 L R E E v V m 9 v c n d h Y X J k Z W x p a m t l J T I w a 2 9 s b 2 0 l M j B p b m d l d m 9 l Z 2 Q 0 M D w v S X R l b V B h d G g + P C 9 J d G V t T G 9 j Y X R p b 2 4 + P F N 0 Y W J s Z U V u d H J p Z X M g L z 4 8 L 0 l 0 Z W 0 + P E l 0 Z W 0 + P E l 0 Z W 1 M b 2 N h d G l v b j 4 8 S X R l b V R 5 c G U + R m 9 y b X V s Y T w v S X R l b V R 5 c G U + P E l 0 Z W 1 Q Y X R o P l N l Y 3 R p b 2 4 x L 0 t E Q S 9 W b 2 9 y d 2 F h c m R l b G l q a 2 U l M j B r b 2 x v b S U y M G l u Z 2 V 2 b 2 V n Z D Q x P C 9 J d G V t U G F 0 a D 4 8 L 0 l 0 Z W 1 M b 2 N h d G l v b j 4 8 U 3 R h Y m x l R W 5 0 c m l l c y A v P j w v S X R l b T 4 8 S X R l b T 4 8 S X R l b U x v Y 2 F 0 a W 9 u P j x J d G V t V H l w Z T 5 G b 3 J t d W x h P C 9 J d G V t V H l w Z T 4 8 S X R l b V B h d G g + U 2 V j d G l v b j E v S 0 R B L 1 Z v b 3 J 3 Y W F y Z G V s a W p r Z S U y M G t v b G 9 t J T I w a W 5 n Z X Z v Z W d k N D I 8 L 0 l 0 Z W 1 Q Y X R o P j w v S X R l b U x v Y 2 F 0 a W 9 u P j x T d G F i b G V F b n R y a W V z I C 8 + P C 9 J d G V t P j x J d G V t P j x J d G V t T G 9 j Y X R p b 2 4 + P E l 0 Z W 1 U e X B l P k Z v c m 1 1 b G E 8 L 0 l 0 Z W 1 U e X B l P j x J d G V t U G F 0 a D 5 T Z W N 0 a W 9 u M S 9 L R E E v V m 9 v c n d h Y X J k Z W x p a m t l J T I w a 2 9 s b 2 0 l M j B p b m d l d m 9 l Z 2 Q 0 M z w v S X R l b V B h d G g + P C 9 J d G V t T G 9 j Y X R p b 2 4 + P F N 0 Y W J s Z U V u d H J p Z X M g L z 4 8 L 0 l 0 Z W 0 + P E l 0 Z W 0 + P E l 0 Z W 1 M b 2 N h d G l v b j 4 8 S X R l b V R 5 c G U + R m 9 y b X V s Y T w v S X R l b V R 5 c G U + P E l 0 Z W 1 Q Y X R o P l N l Y 3 R p b 2 4 x L 0 t E Q S 9 W b 2 9 y d 2 F h c m R l b G l q a 2 U l M j B r b 2 x v b S U y M G l u Z 2 V 2 b 2 V n Z D Q 0 P C 9 J d G V t U G F 0 a D 4 8 L 0 l 0 Z W 1 M b 2 N h d G l v b j 4 8 U 3 R h Y m x l R W 5 0 c m l l c y A v P j w v S X R l b T 4 8 S X R l b T 4 8 S X R l b U x v Y 2 F 0 a W 9 u P j x J d G V t V H l w Z T 5 G b 3 J t d W x h P C 9 J d G V t V H l w Z T 4 8 S X R l b V B h d G g + U 2 V j d G l v b j E v S 0 R B L 1 Z v b 3 J 3 Y W F y Z G V s a W p r Z S U y M G t v b G 9 t J T I w a W 5 n Z X Z v Z W d k N D U 8 L 0 l 0 Z W 1 Q Y X R o P j w v S X R l b U x v Y 2 F 0 a W 9 u P j x T d G F i b G V F b n R y a W V z I C 8 + P C 9 J d G V t P j x J d G V t P j x J d G V t T G 9 j Y X R p b 2 4 + P E l 0 Z W 1 U e X B l P k Z v c m 1 1 b G E 8 L 0 l 0 Z W 1 U e X B l P j x J d G V t U G F 0 a D 5 T Z W N 0 a W 9 u M S 9 L R E E v V m 9 v c n d h Y X J k Z W x p a m t l J T I w a 2 9 s b 2 0 l M j B p b m d l d m 9 l Z 2 Q 0 N j w v S X R l b V B h d G g + P C 9 J d G V t T G 9 j Y X R p b 2 4 + P F N 0 Y W J s Z U V u d H J p Z X M g L z 4 8 L 0 l 0 Z W 0 + P E l 0 Z W 0 + P E l 0 Z W 1 M b 2 N h d G l v b j 4 8 S X R l b V R 5 c G U + R m 9 y b X V s Y T w v S X R l b V R 5 c G U + P E l 0 Z W 1 Q Y X R o P l N l Y 3 R p b 2 4 x L 0 t E Q S 9 W b 2 9 y d 2 F h c m R l b G l q a 2 U l M j B r b 2 x v b S U y M G l u Z 2 V 2 b 2 V n Z D Q 3 P C 9 J d G V t U G F 0 a D 4 8 L 0 l 0 Z W 1 M b 2 N h d G l v b j 4 8 U 3 R h Y m x l R W 5 0 c m l l c y A v P j w v S X R l b T 4 8 S X R l b T 4 8 S X R l b U x v Y 2 F 0 a W 9 u P j x J d G V t V H l w Z T 5 G b 3 J t d W x h P C 9 J d G V t V H l w Z T 4 8 S X R l b V B h d G g + U 2 V j d G l v b j E v S 0 R B L 1 Z v b 3 J 3 Y W F y Z G V s a W p r Z S U y M G t v b G 9 t J T I w a W 5 n Z X Z v Z W d k N D g 8 L 0 l 0 Z W 1 Q Y X R o P j w v S X R l b U x v Y 2 F 0 a W 9 u P j x T d G F i b G V F b n R y a W V z I C 8 + P C 9 J d G V t P j x J d G V t P j x J d G V t T G 9 j Y X R p b 2 4 + P E l 0 Z W 1 U e X B l P k Z v c m 1 1 b G E 8 L 0 l 0 Z W 1 U e X B l P j x J d G V t U G F 0 a D 5 T Z W N 0 a W 9 u M S 9 L R E E v V m 9 v c n d h Y X J k Z W x p a m t l J T I w a 2 9 s b 2 0 l M j B p b m d l d m 9 l Z 2 Q 0 O T w v S X R l b V B h d G g + P C 9 J d G V t T G 9 j Y X R p b 2 4 + P F N 0 Y W J s Z U V u d H J p Z X M g L z 4 8 L 0 l 0 Z W 0 + P E l 0 Z W 0 + P E l 0 Z W 1 M b 2 N h d G l v b j 4 8 S X R l b V R 5 c G U + R m 9 y b X V s Y T w v S X R l b V R 5 c G U + P E l 0 Z W 1 Q Y X R o P l N l Y 3 R p b 2 4 x L 0 t E Q S 9 W b 2 9 y d 2 F h c m R l b G l q a 2 U l M j B r b 2 x v b S U y M G l u Z 2 V 2 b 2 V n Z D U w P C 9 J d G V t U G F 0 a D 4 8 L 0 l 0 Z W 1 M b 2 N h d G l v b j 4 8 U 3 R h Y m x l R W 5 0 c m l l c y A v P j w v S X R l b T 4 8 S X R l b T 4 8 S X R l b U x v Y 2 F 0 a W 9 u P j x J d G V t V H l w Z T 5 G b 3 J t d W x h P C 9 J d G V t V H l w Z T 4 8 S X R l b V B h d G g + U 2 V j d G l v b j E v S 0 R B L 1 Z v b 3 J 3 Y W F y Z G V s a W p r Z S U y M G t v b G 9 t J T I w a W 5 n Z X Z v Z W d k N T E 8 L 0 l 0 Z W 1 Q Y X R o P j w v S X R l b U x v Y 2 F 0 a W 9 u P j x T d G F i b G V F b n R y a W V z I C 8 + P C 9 J d G V t P j x J d G V t P j x J d G V t T G 9 j Y X R p b 2 4 + P E l 0 Z W 1 U e X B l P k Z v c m 1 1 b G E 8 L 0 l 0 Z W 1 U e X B l P j x J d G V t U G F 0 a D 5 T Z W N 0 a W 9 u M S 9 L R E E v V m 9 v c n d h Y X J k Z W x p a m t l J T I w a 2 9 s b 2 0 l M j B p b m d l d m 9 l Z 2 Q 1 M j w v S X R l b V B h d G g + P C 9 J d G V t T G 9 j Y X R p b 2 4 + P F N 0 Y W J s Z U V u d H J p Z X M g L z 4 8 L 0 l 0 Z W 0 + P E l 0 Z W 0 + P E l 0 Z W 1 M b 2 N h d G l v b j 4 8 S X R l b V R 5 c G U + R m 9 y b X V s Y T w v S X R l b V R 5 c G U + P E l 0 Z W 1 Q Y X R o P l N l Y 3 R p b 2 4 x L 0 t E Q S 9 W b 2 9 y d 2 F h c m R l b G l q a 2 U l M j B r b 2 x v b S U y M G l u Z 2 V 2 b 2 V n Z D U z P C 9 J d G V t U G F 0 a D 4 8 L 0 l 0 Z W 1 M b 2 N h d G l v b j 4 8 U 3 R h Y m x l R W 5 0 c m l l c y A v P j w v S X R l b T 4 8 S X R l b T 4 8 S X R l b U x v Y 2 F 0 a W 9 u P j x J d G V t V H l w Z T 5 G b 3 J t d W x h P C 9 J d G V t V H l w Z T 4 8 S X R l b V B h d G g + U 2 V j d G l v b j E v S 0 R B L 1 Z v b 3 J 3 Y W F y Z G V s a W p r Z S U y M G t v b G 9 t J T I w a W 5 n Z X Z v Z W d k N T Q 8 L 0 l 0 Z W 1 Q Y X R o P j w v S X R l b U x v Y 2 F 0 a W 9 u P j x T d G F i b G V F b n R y a W V z I C 8 + P C 9 J d G V t P j x J d G V t P j x J d G V t T G 9 j Y X R p b 2 4 + P E l 0 Z W 1 U e X B l P k Z v c m 1 1 b G E 8 L 0 l 0 Z W 1 U e X B l P j x J d G V t U G F 0 a D 5 T Z W N 0 a W 9 u M S 9 L R E E v V m 9 v c n d h Y X J k Z W x p a m t l J T I w a 2 9 s b 2 0 l M j B p b m d l d m 9 l Z 2 Q 1 N T w v S X R l b V B h d G g + P C 9 J d G V t T G 9 j Y X R p b 2 4 + P F N 0 Y W J s Z U V u d H J p Z X M g L z 4 8 L 0 l 0 Z W 0 + P E l 0 Z W 0 + P E l 0 Z W 1 M b 2 N h d G l v b j 4 8 S X R l b V R 5 c G U + R m 9 y b X V s Y T w v S X R l b V R 5 c G U + P E l 0 Z W 1 Q Y X R o P l N l Y 3 R p b 2 4 x L 0 t E Q S 9 W b 2 9 y d 2 F h c m R l b G l q a 2 U l M j B r b 2 x v b S U y M G l u Z 2 V 2 b 2 V n Z D U 2 P C 9 J d G V t U G F 0 a D 4 8 L 0 l 0 Z W 1 M b 2 N h d G l v b j 4 8 U 3 R h Y m x l R W 5 0 c m l l c y A v P j w v S X R l b T 4 8 S X R l b T 4 8 S X R l b U x v Y 2 F 0 a W 9 u P j x J d G V t V H l w Z T 5 G b 3 J t d W x h P C 9 J d G V t V H l w Z T 4 8 S X R l b V B h d G g + U 2 V j d G l v b j E v S 0 R B L 1 Z v b 3 J 3 Y W F y Z G V s a W p r Z S U y M G t v b G 9 t J T I w a W 5 n Z X Z v Z W d k N T c 8 L 0 l 0 Z W 1 Q Y X R o P j w v S X R l b U x v Y 2 F 0 a W 9 u P j x T d G F i b G V F b n R y a W V z I C 8 + P C 9 J d G V t P j x J d G V t P j x J d G V t T G 9 j Y X R p b 2 4 + P E l 0 Z W 1 U e X B l P k Z v c m 1 1 b G E 8 L 0 l 0 Z W 1 U e X B l P j x J d G V t U G F 0 a D 5 T Z W N 0 a W 9 u M S 9 L R E E v V m 9 v c n d h Y X J k Z W x p a m t l J T I w a 2 9 s b 2 0 l M j B p b m d l d m 9 l Z 2 Q 1 O D w v S X R l b V B h d G g + P C 9 J d G V t T G 9 j Y X R p b 2 4 + P F N 0 Y W J s Z U V u d H J p Z X M g L z 4 8 L 0 l 0 Z W 0 + P E l 0 Z W 0 + P E l 0 Z W 1 M b 2 N h d G l v b j 4 8 S X R l b V R 5 c G U + R m 9 y b X V s Y T w v S X R l b V R 5 c G U + P E l 0 Z W 1 Q Y X R o P l N l Y 3 R p b 2 4 x L 0 t E Q S 9 W b 2 9 y d 2 F h c m R l b G l q a 2 U l M j B r b 2 x v b S U y M G l u Z 2 V 2 b 2 V n Z D U 5 P C 9 J d G V t U G F 0 a D 4 8 L 0 l 0 Z W 1 M b 2 N h d G l v b j 4 8 U 3 R h Y m x l R W 5 0 c m l l c y A v P j w v S X R l b T 4 8 S X R l b T 4 8 S X R l b U x v Y 2 F 0 a W 9 u P j x J d G V t V H l w Z T 5 G b 3 J t d W x h P C 9 J d G V t V H l w Z T 4 8 S X R l b V B h d G g + U 2 V j d G l v b j E v S 0 R B L 0 F h b m d l c G F z d C U y M G l 0 Z W 0 l M j B 0 b 2 V n Z X Z v Z W d k J T I w M T w v S X R l b V B h d G g + P C 9 J d G V t T G 9 j Y X R p b 2 4 + P F N 0 Y W J s Z U V u d H J p Z X M g L z 4 8 L 0 l 0 Z W 0 + P E l 0 Z W 0 + P E l 0 Z W 1 M b 2 N h d G l v b j 4 8 S X R l b V R 5 c G U + R m 9 y b X V s Y T w v S X R l b V R 5 c G U + P E l 0 Z W 1 Q Y X R o P l N l Y 3 R p b 2 4 x L 0 t E Q S 9 B Y W 5 n Z X B h c 3 Q l M j B p d G V t J T I w d G 9 l Z 2 V 2 b 2 V n Z C U y M D I 8 L 0 l 0 Z W 1 Q Y X R o P j w v S X R l b U x v Y 2 F 0 a W 9 u P j x T d G F i b G V F b n R y a W V z I C 8 + P C 9 J d G V t P j x J d G V t P j x J d G V t T G 9 j Y X R p b 2 4 + P E l 0 Z W 1 U e X B l P k Z v c m 1 1 b G E 8 L 0 l 0 Z W 1 U e X B l P j x J d G V t U G F 0 a D 5 T Z W N 0 a W 9 u M S 9 L R E E v Q W F u Z 2 V w Y X N 0 J T I w a X R l b S U y M H R v Z W d l d m 9 l Z 2 Q l M j A z P C 9 J d G V t U G F 0 a D 4 8 L 0 l 0 Z W 1 M b 2 N h d G l v b j 4 8 U 3 R h Y m x l R W 5 0 c m l l c y A v P j w v S X R l b T 4 8 S X R l b T 4 8 S X R l b U x v Y 2 F 0 a W 9 u P j x J d G V t V H l w Z T 5 G b 3 J t d W x h P C 9 J d G V t V H l w Z T 4 8 S X R l b V B h d G g + U 2 V j d G l v b j E v S 0 R B L 0 F h b m d l c G F z d C U y M G l 0 Z W 0 l M j B 0 b 2 V n Z X Z v Z W d k J T I w N D w v S X R l b V B h d G g + P C 9 J d G V t T G 9 j Y X R p b 2 4 + P F N 0 Y W J s Z U V u d H J p Z X M g L z 4 8 L 0 l 0 Z W 0 + P E l 0 Z W 0 + P E l 0 Z W 1 M b 2 N h d G l v b j 4 8 S X R l b V R 5 c G U + R m 9 y b X V s Y T w v S X R l b V R 5 c G U + P E l 0 Z W 1 Q Y X R o P l N l Y 3 R p b 2 4 x L 0 t E Q S 9 L b 2 x v b W 1 l b i U y M H Z l c n d p a m R l c m Q l M j A y P C 9 J d G V t U G F 0 a D 4 8 L 0 l 0 Z W 1 M b 2 N h d G l v b j 4 8 U 3 R h Y m x l R W 5 0 c m l l c y A v P j w v S X R l b T 4 8 S X R l b T 4 8 S X R l b U x v Y 2 F 0 a W 9 u P j x J d G V t V H l w Z T 5 G b 3 J t d W x h P C 9 J d G V t V H l w Z T 4 8 S X R l b V B h d G g + U 2 V j d G l v b j E v S 0 R B L 0 5 h b W V u J T I w d m F u J T I w a 2 9 s b 2 1 t Z W 4 l M j B n Z X d p a n p p Z 2 Q l M j A 4 P C 9 J d G V t U G F 0 a D 4 8 L 0 l 0 Z W 1 M b 2 N h d G l v b j 4 8 U 3 R h Y m x l R W 5 0 c m l l c y A v P j w v S X R l b T 4 8 S X R l b T 4 8 S X R l b U x v Y 2 F 0 a W 9 u P j x J d G V t V H l w Z T 5 G b 3 J t d W x h P C 9 J d G V t V H l w Z T 4 8 S X R l b V B h d G g + U 2 V j d G l v b j E v S 0 R B L 1 d h Y X J k Z S U y M G l z J T I w d m V y d m F u Z 2 V u P C 9 J d G V t U G F 0 a D 4 8 L 0 l 0 Z W 1 M b 2 N h d G l v b j 4 8 U 3 R h Y m x l R W 5 0 c m l l c y A v P j w v S X R l b T 4 8 S X R l b T 4 8 S X R l b U x v Y 2 F 0 a W 9 u P j x J d G V t V H l w Z T 5 G b 3 J t d W x h P C 9 J d G V t V H l w Z T 4 8 S X R l b V B h d G g + U 2 V j d G l v b j E v S 0 R B L 1 d h Y X J k Z S U y M G l z J T I w d m V y d m F u Z 2 V u J T I w O T w v S X R l b V B h d G g + P C 9 J d G V t T G 9 j Y X R p b 2 4 + P F N 0 Y W J s Z U V u d H J p Z X M g L z 4 8 L 0 l 0 Z W 0 + P E l 0 Z W 0 + P E l 0 Z W 1 M b 2 N h d G l v b j 4 8 S X R l b V R 5 c G U + R m 9 y b X V s Y T w v S X R l b V R 5 c G U + P E l 0 Z W 1 Q Y X R o P l N l Y 3 R p b 2 4 x L 0 t E Q S 9 L b 2 x v b S U y M H N w b G l 0 c 2 V u J T I w b 3 A l M j B z Y 2 h l a W R p b m d z d G V r Z W 4 8 L 0 l 0 Z W 1 Q Y X R o P j w v S X R l b U x v Y 2 F 0 a W 9 u P j x T d G F i b G V F b n R y a W V z I C 8 + P C 9 J d G V t P j x J d G V t P j x J d G V t T G 9 j Y X R p b 2 4 + P E l 0 Z W 1 U e X B l P k Z v c m 1 1 b G E 8 L 0 l 0 Z W 1 U e X B l P j x J d G V t U G F 0 a D 5 T Z W N 0 a W 9 u M S 9 L R E E v V 2 F h c m R l J T I w a X M l M j B 2 Z X J 2 Y W 5 n Z W 4 l M j A x P C 9 J d G V t U G F 0 a D 4 8 L 0 l 0 Z W 1 M b 2 N h d G l v b j 4 8 U 3 R h Y m x l R W 5 0 c m l l c y A v P j w v S X R l b T 4 8 S X R l b T 4 8 S X R l b U x v Y 2 F 0 a W 9 u P j x J d G V t V H l w Z T 5 G b 3 J t d W x h P C 9 J d G V t V H l w Z T 4 8 S X R l b V B h d G g + U 2 V j d G l v b j E v S 0 R B L 1 d h Y X J k Z S U y M G l z J T I w d m V y d m F u Z 2 V u J T I w M j w v S X R l b V B h d G g + P C 9 J d G V t T G 9 j Y X R p b 2 4 + P F N 0 Y W J s Z U V u d H J p Z X M g L z 4 8 L 0 l 0 Z W 0 + P E l 0 Z W 0 + P E l 0 Z W 1 M b 2 N h d G l v b j 4 8 S X R l b V R 5 c G U + R m 9 y b X V s Y T w v S X R l b V R 5 c G U + P E l 0 Z W 1 Q Y X R o P l N l Y 3 R p b 2 4 x L 0 t E Q S 9 O Y W 1 l b i U y M H Z h b i U y M G t v b G 9 t b W V u J T I w Z 2 V 3 a W p 6 a W d k P C 9 J d G V t U G F 0 a D 4 8 L 0 l 0 Z W 1 M b 2 N h d G l v b j 4 8 U 3 R h Y m x l R W 5 0 c m l l c y A v P j w v S X R l b T 4 8 S X R l b T 4 8 S X R l b U x v Y 2 F 0 a W 9 u P j x J d G V t V H l w Z T 5 G b 3 J t d W x h P C 9 J d G V t V H l w Z T 4 8 S X R l b V B h d G g + U 2 V j d G l v b j E v S 0 R B L 0 5 h b W V u J T I w d m F u J T I w a 2 9 s b 2 1 t Z W 4 l M j B n Z X d p a n p p Z 2 Q l M j A z P C 9 J d G V t U G F 0 a D 4 8 L 0 l 0 Z W 1 M b 2 N h d G l v b j 4 8 U 3 R h Y m x l R W 5 0 c m l l c y A v P j w v S X R l b T 4 8 S X R l b T 4 8 S X R l b U x v Y 2 F 0 a W 9 u P j x J d G V t V H l w Z T 5 G b 3 J t d W x h P C 9 J d G V t V H l w Z T 4 8 S X R l b V B h d G g + U 2 V j d G l v b j E v S 0 R B L 1 d h Y X J k Z S U y M G l z J T I w d m V y d m F u Z 2 V u J T I w M z w v S X R l b V B h d G g + P C 9 J d G V t T G 9 j Y X R p b 2 4 + P F N 0 Y W J s Z U V u d H J p Z X M g L z 4 8 L 0 l 0 Z W 0 + P E l 0 Z W 0 + P E l 0 Z W 1 M b 2 N h d G l v b j 4 8 S X R l b V R 5 c G U + R m 9 y b X V s Y T w v S X R l b V R 5 c G U + P E l 0 Z W 1 Q Y X R o P l N l Y 3 R p b 2 4 x L 0 t E Q S 9 X Y W F y Z G U l M j B p c y U y M H Z l c n Z h b m d l b i U y M D Q 8 L 0 l 0 Z W 1 Q Y X R o P j w v S X R l b U x v Y 2 F 0 a W 9 u P j x T d G F i b G V F b n R y a W V z I C 8 + P C 9 J d G V t P j x J d G V t P j x J d G V t T G 9 j Y X R p b 2 4 + P E l 0 Z W 1 U e X B l P k Z v c m 1 1 b G E 8 L 0 l 0 Z W 1 U e X B l P j x J d G V t U G F 0 a D 5 T Z W N 0 a W 9 u M S 9 L R E E v T m F t Z W 4 l M j B 2 Y W 4 l M j B r b 2 x v b W 1 l b i U y M G d l d 2 l q e m l n Z C U y M D Q 8 L 0 l 0 Z W 1 Q Y X R o P j w v S X R l b U x v Y 2 F 0 a W 9 u P j x T d G F i b G V F b n R y a W V z I C 8 + P C 9 J d G V t P j x J d G V t P j x J d G V t T G 9 j Y X R p b 2 4 + P E l 0 Z W 1 U e X B l P k Z v c m 1 1 b G E 8 L 0 l 0 Z W 1 U e X B l P j x J d G V t U G F 0 a D 5 T Z W N 0 a W 9 u M S 9 L R E E v T m F t Z W 4 l M j B 2 Y W 4 l M j B r b 2 x v b W 1 l b i U y M G d l d 2 l q e m l n Z C U y M D U 8 L 0 l 0 Z W 1 Q Y X R o P j w v S X R l b U x v Y 2 F 0 a W 9 u P j x T d G F i b G V F b n R y a W V z I C 8 + P C 9 J d G V t P j x J d G V t P j x J d G V t T G 9 j Y X R p b 2 4 + P E l 0 Z W 1 U e X B l P k Z v c m 1 1 b G E 8 L 0 l 0 Z W 1 U e X B l P j x J d G V t U G F 0 a D 5 T Z W N 0 a W 9 u M S 9 L R E E v S 2 9 s b 2 1 t Z W 4 l M j B z Y W 1 l b m d l d m 9 l Z 2 Q 8 L 0 l 0 Z W 1 Q Y X R o P j w v S X R l b U x v Y 2 F 0 a W 9 u P j x T d G F i b G V F b n R y a W V z I C 8 + P C 9 J d G V t P j x J d G V t P j x J d G V t T G 9 j Y X R p b 2 4 + P E l 0 Z W 1 U e X B l P k Z v c m 1 1 b G E 8 L 0 l 0 Z W 1 U e X B l P j x J d G V t U G F 0 a D 5 T Z W N 0 a W 9 u M S 9 L R E E v S 2 9 s b 2 1 t Z W 4 l M j B z Y W 1 l b m d l d m 9 l Z 2 Q l M j A x P C 9 J d G V t U G F 0 a D 4 8 L 0 l 0 Z W 1 M b 2 N h d G l v b j 4 8 U 3 R h Y m x l R W 5 0 c m l l c y A v P j w v S X R l b T 4 8 S X R l b T 4 8 S X R l b U x v Y 2 F 0 a W 9 u P j x J d G V t V H l w Z T 5 G b 3 J t d W x h P C 9 J d G V t V H l w Z T 4 8 S X R l b V B h d G g + U 2 V j d G l v b j E v S 0 R B L 0 t v b G 9 t b W V u J T I w c 2 F t Z W 5 n Z X Z v Z W d k J T I w M j w v S X R l b V B h d G g + P C 9 J d G V t T G 9 j Y X R p b 2 4 + P F N 0 Y W J s Z U V u d H J p Z X M g L z 4 8 L 0 l 0 Z W 0 + P E l 0 Z W 0 + P E l 0 Z W 1 M b 2 N h d G l v b j 4 8 S X R l b V R 5 c G U + R m 9 y b X V s Y T w v S X R l b V R 5 c G U + P E l 0 Z W 1 Q Y X R o P l N l Y 3 R p b 2 4 x L 0 t E Q S 9 O Y W 1 l b i U y M H Z h b i U y M G t v b G 9 t b W V u J T I w Z 2 V 3 a W p 6 a W d k J T I w N j w v S X R l b V B h d G g + P C 9 J d G V t T G 9 j Y X R p b 2 4 + P F N 0 Y W J s Z U V u d H J p Z X M g L z 4 8 L 0 l 0 Z W 0 + P E l 0 Z W 0 + P E l 0 Z W 1 M b 2 N h d G l v b j 4 8 S X R l b V R 5 c G U + R m 9 y b X V s Y T w v S X R l b V R 5 c G U + P E l 0 Z W 1 Q Y X R o P l N l Y 3 R p b 2 4 x L 0 t E Q S 9 O Y W 1 l b i U y M H Z h b i U y M G t v b G 9 t b W V u J T I w Z 2 V 3 a W p 6 a W d k J T I w N z w v S X R l b V B h d G g + P C 9 J d G V t T G 9 j Y X R p b 2 4 + P F N 0 Y W J s Z U V u d H J p Z X M g L z 4 8 L 0 l 0 Z W 0 + P E l 0 Z W 0 + P E l 0 Z W 1 M b 2 N h d G l v b j 4 8 S X R l b V R 5 c G U + R m 9 y b X V s Y T w v S X R l b V R 5 c G U + P E l 0 Z W 1 Q Y X R o P l N l Y 3 R p b 2 4 x L 0 t E Q S 9 X Y W F y Z G U l M j B p c y U y M H Z l c n Z h b m d l b i U y M D c 8 L 0 l 0 Z W 1 Q Y X R o P j w v S X R l b U x v Y 2 F 0 a W 9 u P j x T d G F i b G V F b n R y a W V z I C 8 + P C 9 J d G V t P j x J d G V t P j x J d G V t T G 9 j Y X R p b 2 4 + P E l 0 Z W 1 U e X B l P k Z v c m 1 1 b G E 8 L 0 l 0 Z W 1 U e X B l P j x J d G V t U G F 0 a D 5 T Z W N 0 a W 9 u M S 9 L R E E v V 2 F h c m R l J T I w a X M l M j B 2 Z X J 2 Y W 5 n Z W 4 l M j A 4 P C 9 J d G V t U G F 0 a D 4 8 L 0 l 0 Z W 1 M b 2 N h d G l v b j 4 8 U 3 R h Y m x l R W 5 0 c m l l c y A v P j w v S X R l b T 4 8 S X R l b T 4 8 S X R l b U x v Y 2 F 0 a W 9 u P j x J d G V t V H l w Z T 5 G b 3 J t d W x h P C 9 J d G V t V H l w Z T 4 8 S X R l b V B h d G g + U 2 V j d G l v b j E v S 0 R B L 1 Z v b G d v c m R l J T I w d m F u J T I w a 2 9 s b 2 1 t Z W 4 l M j B n Z X d p a n p p Z 2 Q 8 L 0 l 0 Z W 1 Q Y X R o P j w v S X R l b U x v Y 2 F 0 a W 9 u P j x T d G F i b G V F b n R y a W V z I C 8 + P C 9 J d G V t P j x J d G V t P j x J d G V t T G 9 j Y X R p b 2 4 + P E l 0 Z W 1 U e X B l P k Z v c m 1 1 b G E 8 L 0 l 0 Z W 1 U e X B l P j x J d G V t U G F 0 a D 5 T Z W N 0 a W 9 u M S 9 L R E E v T m F t Z W 4 l M j B 2 Y W 4 l M j B r b 2 x v b W 1 l b i U y M G d l d 2 l q e m l n Z C U y M D k 8 L 0 l 0 Z W 1 Q Y X R o P j w v S X R l b U x v Y 2 F 0 a W 9 u P j x T d G F i b G V F b n R y a W V z I C 8 + P C 9 J d G V t P j x J d G V t P j x J d G V t T G 9 j Y X R p b 2 4 + P E l 0 Z W 1 U e X B l P k Z v c m 1 1 b G E 8 L 0 l 0 Z W 1 U e X B l P j x J d G V t U G F 0 a D 5 T Z W N 0 a W 9 u M S 9 L R E E v S G V 0 J T I w a 2 9 s b 2 1 0 e X B l J T I w a X M l M j B n Z X d p a n p p Z 2 Q l M j A x P C 9 J d G V t U G F 0 a D 4 8 L 0 l 0 Z W 1 M b 2 N h d G l v b j 4 8 U 3 R h Y m x l R W 5 0 c m l l c y A v P j w v S X R l b T 4 8 S X R l b T 4 8 S X R l b U x v Y 2 F 0 a W 9 u P j x J d G V t V H l w Z T 5 G b 3 J t d W x h P C 9 J d G V t V H l w Z T 4 8 S X R l b V B h d G g + U 2 V j d G l v b j E v S 0 R B L 0 d l c 2 9 y d G V l c m R l J T I w c m l q Z W 4 8 L 0 l 0 Z W 1 Q Y X R o P j w v S X R l b U x v Y 2 F 0 a W 9 u P j x T d G F i b G V F b n R y a W V z I C 8 + P C 9 J d G V t P j x J d G V t P j x J d G V t T G 9 j Y X R p b 2 4 + P E l 0 Z W 1 U e X B l P k Z v c m 1 1 b G E 8 L 0 l 0 Z W 1 U e X B l P j x J d G V t U G F 0 a D 5 T Z W N 0 a W 9 u M S 9 G U 0 Q v S 2 9 s b 2 1 t Z W 4 l M j B 2 Z X J 3 a W p k Z X J k J T I w M z w v S X R l b V B h d G g + P C 9 J d G V t T G 9 j Y X R p b 2 4 + P F N 0 Y W J s Z U V u d H J p Z X M g L z 4 8 L 0 l 0 Z W 0 + P E l 0 Z W 0 + P E l 0 Z W 1 M b 2 N h d G l v b j 4 8 S X R l b V R 5 c G U + R m 9 y b X V s Y T w v S X R l b V R 5 c G U + P E l 0 Z W 1 Q Y X R o P l N l Y 3 R p b 2 4 x L 0 Z T R C 9 I Z X Q l M j B r b 2 x v b X R 5 c G U l M j B p c y U y M G d l d 2 l q e m l n Z C U y M D I 8 L 0 l 0 Z W 1 Q Y X R o P j w v S X R l b U x v Y 2 F 0 a W 9 u P j x T d G F i b G V F b n R y a W V z I C 8 + P C 9 J d G V t P j x J d G V t P j x J d G V t T G 9 j Y X R p b 2 4 + P E l 0 Z W 1 U e X B l P k Z v c m 1 1 b G E 8 L 0 l 0 Z W 1 U e X B l P j x J d G V t U G F 0 a D 5 T Z W N 0 a W 9 u M S 9 L c m l u Z 2 R h Z 2 V u 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N T c 1 O T V k M 2 E t Y j d i M S 0 0 M G U 5 L W I 5 O W I t Y z Y y N T Q 0 M G E 4 O T c 3 I i A v P j x F b n R y e S B U e X B l P S J S Z X N 1 b H R U e X B l I i B W Y W x 1 Z T 0 i c 1 R h Y m x l I i A v P j x F b n R y e S B U e X B l P S J O Y W 1 l V X B k Y X R l Z E F m d G V y R m l s b C I g V m F s d W U 9 I m w w I i A v P j x F b n R y e S B U e X B l P S J G a W x s V G F y Z 2 V 0 I i B W Y W x 1 Z T 0 i c 0 t y a W 5 n Z G F n Z W 5 f I i A v P j x F b n R y e S B U e X B l P S J G a W x s Z W R D b 2 1 w b G V 0 Z V J l c 3 V s d F R v V 2 9 y a 3 N o Z W V 0 I i B W Y W x 1 Z T 0 i b D E i I C 8 + P E V u d H J 5 I F R 5 c G U 9 I k J 1 Z m Z l c k 5 l e H R S Z W Z y Z X N o I i B W Y W x 1 Z T 0 i b D E i I C 8 + P E V u d H J 5 I F R 5 c G U 9 I k Z p b G x M Y X N 0 V X B k Y X R l Z C I g V m F s d W U 9 I m Q y M D I 2 L T A x L T A x V D A 5 O j M w O j M 0 L j Y z O D c 5 N D B a I i A v P j x F b n R y e S B U e X B l P S J G a W x s Q 2 9 s d W 1 u V H l w Z X M i I F Z h b H V l P S J z Q m d Z R 0 J n W U d C Z 1 l E Q X d N R E F 3 T U R B d 0 1 E Q X d N R 0 F 3 T U R B d 0 1 E Q X d Z R E F 3 T U R B d 0 1 E Q m d Z R 0 J n Y 0 h C Z 1 l H Q m d Z R 0 F 3 W U d C Z 1 k 9 I i A v P j x F b n R y e S B U e X B l P S J G a W x s R X J y b 3 J D b 3 V u d C I g V m F s d W U 9 I m w w I i A v P j x F b n R y e S B U e X B l P S J G a W x s Q 2 9 s d W 1 u T m F t Z X M i I F Z h b H V l P S J z W y Z x d W 9 0 O 0 t y a W 5 n Z G F n J n F 1 b 3 Q 7 L C Z x d W 9 0 O 1 Z l c i 5 u c i 4 m c X V v d D s s J n F 1 b 3 Q 7 T m F h b S B 2 Z X J l b m l n a W 5 n J n F 1 b 3 Q 7 L C Z x d W 9 0 O 0 R l b G V n Y X R p Z S Z x d W 9 0 O y w m c X V v d D t N d X p p Z W t r b 3 J w c y B 0 a W p k Z W 5 z I G 1 h c n M g Z W 4 g Z G V m a W x c d T A w R T k m c X V v d D s s J n F 1 b 3 Q 7 R G V l b G 5 h b W U g a m V 1 Z 2 R r b 2 5 p b m d z Y 2 h p Z X R l b i Z x d W 9 0 O y w m c X V v d D t N Y W o u I F N l b m l v c m V u I G p 1 c m V y Z W 4 g Y m l q I G 1 h c n M m c X V v d D s s J n F 1 b 3 Q 7 T W F q L i B K Z X V n Z C B q d X J l c m V u I G J p a i B t Y X J z J n F 1 b 3 Q 7 L C Z x d W 9 0 O 0 t v c n B z I H N l b m l v c m V u J n F 1 b 3 Q 7 L C Z x d W 9 0 O 0 p 1 b m l v c m V u I G t v c n B z I D E m c X V v d D s s J n F 1 b 3 Q 7 S n V u a W 9 y Z W 4 g a 2 9 y c H M g M i Z x d W 9 0 O y w m c X V v d D t B c 3 B p c m F u d G V u I G t v c n B z I D E m c X V v d D s s J n F 1 b 3 Q 7 Q X N w a X J h b n R l b i B r b 3 J w c y A y J n F 1 b 3 Q 7 L C Z x d W 9 0 O 0 F j c m 9 i Y X R p c 2 N o I H N l b m l v c m V u J n F 1 b 3 Q 7 L C Z x d W 9 0 O 0 F j c m 9 i Y X R p c 2 N o I G p 1 b m l v c m V u J n F 1 b 3 Q 7 L C Z x d W 9 0 O 0 F j c m 9 i Y X R p c 2 N o I G F z c G l y Y W 5 0 Z W 4 m c X V v d D s s J n F 1 b 3 Q 7 T 3 B n Z X Z l b i B 2 Z W 5 k Z W x p Z X J z I G l u Z C 4 m c X V v d D s s J n F 1 b 3 Q 7 Q W N y b 2 I u I H N l b m l v c m V u I G l u Z G l 2 L i Z x d W 9 0 O y w m c X V v d D t B Y 3 J v Y i 4 g a n V u a W 9 y Z W 4 g a W 5 k a X Y u J n F 1 b 3 Q 7 L C Z x d W 9 0 O 0 F j c m 9 i L i B h c 3 B p c m F u d G V u I G l u Z G l 2 L i Z x d W 9 0 O y w m c X V v d D t E Z W V s b m F t Z S B o b 2 9 m Z G t v c n B z J n F 1 b 3 Q 7 L C Z x d W 9 0 O 0 d y b 2 V w Z W 4 s I H R l Y W 1 z L C B l b n N l b W J s Z X M g Z W 4 g Z H V v X H U w M D I 3 c y Z x d W 9 0 O y w m c X V v d D t B Y W 5 0 Y W w g b 3 B n Z W d l d m V u I G 1 h a m 9 y Z X R 0 Z X M m c X V v d D s s J n F 1 b 3 Q 7 T 3 B n Z X Z l b i B i a W V s Z W 1 h b m 5 l b i Z x d W 9 0 O y w m c X V v d D t T Z W 5 p b 3 J l b i Z x d W 9 0 O y w m c X V v d D t K b 2 5 n I F Z v b H d h c 3 N l b m U m c X V v d D s s J n F 1 b 3 Q 7 S n V u a W 9 y Z W 4 m c X V v d D s s J n F 1 b 3 Q 7 Q X N w a X J h b n R l b i Z x d W 9 0 O y w m c X V v d D t E Z W V s b m F t Z S B t Y X J r Z X R l b n R z d G V y c y Z x d W 9 0 O y w m c X V v d D t B Y W 5 0 Y W w g b H V j a H R n Z X d l Z X J z Y 2 h 1 d H R l c n M m c X V v d D s s J n F 1 b 3 Q 7 Q W F u d G F s I G x 1 Y 2 h 0 c G l z d G 9 v b H N j a H V 0 d G V y c y Z x d W 9 0 O y w m c X V v d D t B Y W 5 0 Y W w g a G F u Z G J v b 2 d z Y 2 h 1 d H R l c n M m c X V v d D s s J n F 1 b 3 Q 7 Q W F u d G F s I G t y d W l z Y m 9 v Z 3 N j a H V 0 d G V y c y Z x d W 9 0 O y w m c X V v d D s o Q W F u d G F s I G p l d W d k a 2 9 y c H N l b i Z x d W 9 0 O y w m c X V v d D t U b 3 R h Y W w g Y W F u d G F s I G R l Z W x u Z W 1 l c n M m c X V v d D s s J n F 1 b 3 Q 7 V 2 F h c n Z h b i B h Y W 5 0 Y W w g a m V 1 Z 2 Q g K H Q v b S A x N S B q Y W F y K S Z x d W 9 0 O y w m c X V v d D t L Y W 5 v b i B l d G M u J n F 1 b 3 Q 7 L C Z x d W 9 0 O 1 B h Y X J k Z W 4 g Z W 4 v b 2 Y g a 2 9 l d H N l b i Z x d W 9 0 O y w m c X V v d D t U b 2 V s a W N o d G l u Z y 9 v c G 1 l c m t p b m d l b i Z x d W 9 0 O y w m c X V v d D t J b n p l b m R p b m c t S U Q m c X V v d D s s J n F 1 b 3 Q 7 S W 5 6 Z W 5 k Z G F 0 d W 0 m c X V v d D s s J n F 1 b 3 Q 7 R G F 0 Z S B V c G R h d G V k J n F 1 b 3 Q 7 L C Z x d W 9 0 O 0 5 h Y W 0 g d m F u I G h l d C B o b 2 9 m Z G t v c n B z J n F 1 b 3 Q 7 L C Z x d W 9 0 O 1 p h b C B v c C B 0 c m V k Z W 4 g Y W x z I C h o b 2 9 m Z G t v c n B z K S Z x d W 9 0 O y w m c X V v d D t W b 3 J t I H Z h b i B 0 d 2 V l I G 1 1 e m l l a 3 d l c m t l b i A o a G 9 v Z m R r b 3 J w c y k m c X V v d D s s J n F 1 b 3 Q 7 W m F s I H V p d G t v b W V u I G l u I G R l O i A o a G 9 v Z m R r b 3 J w c y k m c X V v d D s s J n F 1 b 3 Q 7 T X V 6 a W V r d 2 V y a z E g K G h v b 2 Z k a 2 9 y c H M p J n F 1 b 3 Q 7 L C Z x d W 9 0 O 0 1 1 e m l l a 3 d l c m s y I C h o b 2 9 m Z G t v c n B z K S Z x d W 9 0 O y w m c X V v d D t L b 3 J w c y B i Z X N 0 Y W F 0 I H V p d C A u L i 4 g Z G V l b G 5 l b W V y c y A o a G 9 v Z m R r b 3 J w c y k m c X V v d D s s J n F 1 b 3 Q 7 V 2 9 y Z H Q g Z X I g Z 2 V i c n V p a y B n Z W 1 h Y W t 0 I H Z h b i B t Z W N o Y W 5 p c 2 N o Z S B t d X p p Z W s / J n F 1 b 3 Q 7 L C Z x d W 9 0 O 0 9 u Z G V y Z G V s Z W 4 m c X V v d D s s J n F 1 b 3 Q 7 U 2 V j d G l l c y Z x d W 9 0 O y w m c X V v d D t M Z W V m d G l q Z H N j Y X R l Z 2 9 y a W U m c X V v d D t d I i A v P j x F b n R y e S B U e X B l P S J G a W x s R X J y b 3 J D b 2 R l I i B W Y W x 1 Z T 0 i c 1 V u a 2 5 v d 2 4 i I C 8 + P E V u d H J 5 I F R 5 c G U 9 I k Z p b G x T d G F 0 d X M i I F Z h b H V l P S J z Q 2 9 t c G x l d G U i I C 8 + P E V u d H J 5 I F R 5 c G U 9 I k Z p b G x D b 3 V u d C I g V m F s d W U 9 I m w 5 N y I g L z 4 8 R W 5 0 c n k g V H l w Z T 0 i U m V s Y X R p b 2 5 z a G l w S W 5 m b 0 N v b n R h a W 5 l c i I g V m F s d W U 9 I n N 7 J n F 1 b 3 Q 7 Y 2 9 s d W 1 u Q 2 9 1 b n Q m c X V v d D s 6 N T M s J n F 1 b 3 Q 7 a 2 V 5 Q 2 9 s d W 1 u T m F t Z X M m c X V v d D s 6 W 1 0 s J n F 1 b 3 Q 7 c X V l c n l S Z W x h d G l v b n N o a X B z J n F 1 b 3 Q 7 O l t d L C Z x d W 9 0 O 2 N v b H V t b k l k Z W 5 0 a X R p Z X M m c X V v d D s 6 W y Z x d W 9 0 O 1 N l Y 3 R p b 2 4 x L 0 t y a W 5 n Z G F n Z W 4 v Q X V 0 b 1 J l b W 9 2 Z W R D b 2 x 1 b W 5 z M S 5 7 S 3 J p b m d k Y W c s M H 0 m c X V v d D s s J n F 1 b 3 Q 7 U 2 V j d G l v b j E v S 3 J p b m d k Y W d l b i 9 B d X R v U m V t b 3 Z l Z E N v b H V t b n M x L n t W Z X I u b n I u L D F 9 J n F 1 b 3 Q 7 L C Z x d W 9 0 O 1 N l Y 3 R p b 2 4 x L 0 t y a W 5 n Z G F n Z W 4 v Q X V 0 b 1 J l b W 9 2 Z W R D b 2 x 1 b W 5 z M S 5 7 T m F h b S B 2 Z X J l b m l n a W 5 n L D J 9 J n F 1 b 3 Q 7 L C Z x d W 9 0 O 1 N l Y 3 R p b 2 4 x L 0 t y a W 5 n Z G F n Z W 4 v Q X V 0 b 1 J l b W 9 2 Z W R D b 2 x 1 b W 5 z M S 5 7 R G V s Z W d h d G l l L D N 9 J n F 1 b 3 Q 7 L C Z x d W 9 0 O 1 N l Y 3 R p b 2 4 x L 0 t y a W 5 n Z G F n Z W 4 v Q X V 0 b 1 J l b W 9 2 Z W R D b 2 x 1 b W 5 z M S 5 7 T X V 6 a W V r a 2 9 y c H M g d G l q Z G V u c y B t Y X J z I G V u I G R l Z m l s X H U w M E U 5 L D R 9 J n F 1 b 3 Q 7 L C Z x d W 9 0 O 1 N l Y 3 R p b 2 4 x L 0 t y a W 5 n Z G F n Z W 4 v Q X V 0 b 1 J l b W 9 2 Z W R D b 2 x 1 b W 5 z M S 5 7 R G V l b G 5 h b W U g a m V 1 Z 2 R r b 2 5 p b m d z Y 2 h p Z X R l b i w 1 f S Z x d W 9 0 O y w m c X V v d D t T Z W N 0 a W 9 u M S 9 L c m l u Z 2 R h Z 2 V u L 0 F 1 d G 9 S Z W 1 v d m V k Q 2 9 s d W 1 u c z E u e 0 1 h a i 4 g U 2 V u a W 9 y Z W 4 g a n V y Z X J l b i B i a W o g b W F y c y w 2 f S Z x d W 9 0 O y w m c X V v d D t T Z W N 0 a W 9 u M S 9 L c m l u Z 2 R h Z 2 V u L 0 F 1 d G 9 S Z W 1 v d m V k Q 2 9 s d W 1 u c z E u e 0 1 h a i 4 g S m V 1 Z 2 Q g a n V y Z X J l b i B i a W o g b W F y c y w 3 f S Z x d W 9 0 O y w m c X V v d D t T Z W N 0 a W 9 u M S 9 L c m l u Z 2 R h Z 2 V u L 0 F 1 d G 9 S Z W 1 v d m V k Q 2 9 s d W 1 u c z E u e 0 t v c n B z I H N l b m l v c m V u L D h 9 J n F 1 b 3 Q 7 L C Z x d W 9 0 O 1 N l Y 3 R p b 2 4 x L 0 t y a W 5 n Z G F n Z W 4 v Q X V 0 b 1 J l b W 9 2 Z W R D b 2 x 1 b W 5 z M S 5 7 S n V u a W 9 y Z W 4 g a 2 9 y c H M g M S w 5 f S Z x d W 9 0 O y w m c X V v d D t T Z W N 0 a W 9 u M S 9 L c m l u Z 2 R h Z 2 V u L 0 F 1 d G 9 S Z W 1 v d m V k Q 2 9 s d W 1 u c z E u e 0 p 1 b m l v c m V u I G t v c n B z I D I s M T B 9 J n F 1 b 3 Q 7 L C Z x d W 9 0 O 1 N l Y 3 R p b 2 4 x L 0 t y a W 5 n Z G F n Z W 4 v Q X V 0 b 1 J l b W 9 2 Z W R D b 2 x 1 b W 5 z M S 5 7 Q X N w a X J h b n R l b i B r b 3 J w c y A x L D E x f S Z x d W 9 0 O y w m c X V v d D t T Z W N 0 a W 9 u M S 9 L c m l u Z 2 R h Z 2 V u L 0 F 1 d G 9 S Z W 1 v d m V k Q 2 9 s d W 1 u c z E u e 0 F z c G l y Y W 5 0 Z W 4 g a 2 9 y c H M g M i w x M n 0 m c X V v d D s s J n F 1 b 3 Q 7 U 2 V j d G l v b j E v S 3 J p b m d k Y W d l b i 9 B d X R v U m V t b 3 Z l Z E N v b H V t b n M x L n t B Y 3 J v Y m F 0 a X N j a C B z Z W 5 p b 3 J l b i w x M 3 0 m c X V v d D s s J n F 1 b 3 Q 7 U 2 V j d G l v b j E v S 3 J p b m d k Y W d l b i 9 B d X R v U m V t b 3 Z l Z E N v b H V t b n M x L n t B Y 3 J v Y m F 0 a X N j a C B q d W 5 p b 3 J l b i w x N H 0 m c X V v d D s s J n F 1 b 3 Q 7 U 2 V j d G l v b j E v S 3 J p b m d k Y W d l b i 9 B d X R v U m V t b 3 Z l Z E N v b H V t b n M x L n t B Y 3 J v Y m F 0 a X N j a C B h c 3 B p c m F u d G V u L D E 1 f S Z x d W 9 0 O y w m c X V v d D t T Z W N 0 a W 9 u M S 9 L c m l u Z 2 R h Z 2 V u L 0 F 1 d G 9 S Z W 1 v d m V k Q 2 9 s d W 1 u c z E u e 0 9 w Z 2 V 2 Z W 4 g d m V u Z G V s a W V y c y B p b m Q u L D E 2 f S Z x d W 9 0 O y w m c X V v d D t T Z W N 0 a W 9 u M S 9 L c m l u Z 2 R h Z 2 V u L 0 F 1 d G 9 S Z W 1 v d m V k Q 2 9 s d W 1 u c z E u e 0 F j c m 9 i L i B z Z W 5 p b 3 J l b i B p b m R p d i 4 s M T d 9 J n F 1 b 3 Q 7 L C Z x d W 9 0 O 1 N l Y 3 R p b 2 4 x L 0 t y a W 5 n Z G F n Z W 4 v Q X V 0 b 1 J l b W 9 2 Z W R D b 2 x 1 b W 5 z M S 5 7 Q W N y b 2 I u I G p 1 b m l v c m V u I G l u Z G l 2 L i w x O H 0 m c X V v d D s s J n F 1 b 3 Q 7 U 2 V j d G l v b j E v S 3 J p b m d k Y W d l b i 9 B d X R v U m V t b 3 Z l Z E N v b H V t b n M x L n t B Y 3 J v Y i 4 g Y X N w a X J h b n R l b i B p b m R p d i 4 s M T l 9 J n F 1 b 3 Q 7 L C Z x d W 9 0 O 1 N l Y 3 R p b 2 4 x L 0 t y a W 5 n Z G F n Z W 4 v Q X V 0 b 1 J l b W 9 2 Z W R D b 2 x 1 b W 5 z M S 5 7 R G V l b G 5 h b W U g a G 9 v Z m R r b 3 J w c y w y M H 0 m c X V v d D s s J n F 1 b 3 Q 7 U 2 V j d G l v b j E v S 3 J p b m d k Y W d l b i 9 B d X R v U m V t b 3 Z l Z E N v b H V t b n M x L n t H c m 9 l c G V u L C B 0 Z W F t c y w g Z W 5 z Z W 1 i b G V z I G V u I G R 1 b 1 x 1 M D A y N 3 M s M j F 9 J n F 1 b 3 Q 7 L C Z x d W 9 0 O 1 N l Y 3 R p b 2 4 x L 0 t y a W 5 n Z G F n Z W 4 v Q X V 0 b 1 J l b W 9 2 Z W R D b 2 x 1 b W 5 z M S 5 7 Q W F u d G F s I G 9 w Z 2 V n Z X Z l b i B t Y W p v c m V 0 d G V z L D I y f S Z x d W 9 0 O y w m c X V v d D t T Z W N 0 a W 9 u M S 9 L c m l u Z 2 R h Z 2 V u L 0 F 1 d G 9 S Z W 1 v d m V k Q 2 9 s d W 1 u c z E u e 0 9 w Z 2 V 2 Z W 4 g Y m l l b G V t Y W 5 u Z W 4 s M j N 9 J n F 1 b 3 Q 7 L C Z x d W 9 0 O 1 N l Y 3 R p b 2 4 x L 0 t y a W 5 n Z G F n Z W 4 v Q X V 0 b 1 J l b W 9 2 Z W R D b 2 x 1 b W 5 z M S 5 7 U 2 V u a W 9 y Z W 4 s M j R 9 J n F 1 b 3 Q 7 L C Z x d W 9 0 O 1 N l Y 3 R p b 2 4 x L 0 t y a W 5 n Z G F n Z W 4 v Q X V 0 b 1 J l b W 9 2 Z W R D b 2 x 1 b W 5 z M S 5 7 S m 9 u Z y B W b 2 x 3 Y X N z Z W 5 l L D I 1 f S Z x d W 9 0 O y w m c X V v d D t T Z W N 0 a W 9 u M S 9 L c m l u Z 2 R h Z 2 V u L 0 F 1 d G 9 S Z W 1 v d m V k Q 2 9 s d W 1 u c z E u e 0 p 1 b m l v c m V u L D I 2 f S Z x d W 9 0 O y w m c X V v d D t T Z W N 0 a W 9 u M S 9 L c m l u Z 2 R h Z 2 V u L 0 F 1 d G 9 S Z W 1 v d m V k Q 2 9 s d W 1 u c z E u e 0 F z c G l y Y W 5 0 Z W 4 s M j d 9 J n F 1 b 3 Q 7 L C Z x d W 9 0 O 1 N l Y 3 R p b 2 4 x L 0 t y a W 5 n Z G F n Z W 4 v Q X V 0 b 1 J l b W 9 2 Z W R D b 2 x 1 b W 5 z M S 5 7 R G V l b G 5 h b W U g b W F y a 2 V 0 Z W 5 0 c 3 R l c n M s M j h 9 J n F 1 b 3 Q 7 L C Z x d W 9 0 O 1 N l Y 3 R p b 2 4 x L 0 t y a W 5 n Z G F n Z W 4 v Q X V 0 b 1 J l b W 9 2 Z W R D b 2 x 1 b W 5 z M S 5 7 Q W F u d G F s I G x 1 Y 2 h 0 Z 2 V 3 Z W V y c 2 N o d X R 0 Z X J z L D I 5 f S Z x d W 9 0 O y w m c X V v d D t T Z W N 0 a W 9 u M S 9 L c m l u Z 2 R h Z 2 V u L 0 F 1 d G 9 S Z W 1 v d m V k Q 2 9 s d W 1 u c z E u e 0 F h b n R h b C B s d W N o d H B p c 3 R v b 2 x z Y 2 h 1 d H R l c n M s M z B 9 J n F 1 b 3 Q 7 L C Z x d W 9 0 O 1 N l Y 3 R p b 2 4 x L 0 t y a W 5 n Z G F n Z W 4 v Q X V 0 b 1 J l b W 9 2 Z W R D b 2 x 1 b W 5 z M S 5 7 Q W F u d G F s I G h h b m R i b 2 9 n c 2 N o d X R 0 Z X J z L D M x f S Z x d W 9 0 O y w m c X V v d D t T Z W N 0 a W 9 u M S 9 L c m l u Z 2 R h Z 2 V u L 0 F 1 d G 9 S Z W 1 v d m V k Q 2 9 s d W 1 u c z E u e 0 F h b n R h b C B r c n V p c 2 J v b 2 d z Y 2 h 1 d H R l c n M s M z J 9 J n F 1 b 3 Q 7 L C Z x d W 9 0 O 1 N l Y 3 R p b 2 4 x L 0 t y a W 5 n Z G F n Z W 4 v Q X V 0 b 1 J l b W 9 2 Z W R D b 2 x 1 b W 5 z M S 5 7 K E F h b n R h b C B q Z X V n Z G t v c n B z Z W 4 s M z N 9 J n F 1 b 3 Q 7 L C Z x d W 9 0 O 1 N l Y 3 R p b 2 4 x L 0 t y a W 5 n Z G F n Z W 4 v Q X V 0 b 1 J l b W 9 2 Z W R D b 2 x 1 b W 5 z M S 5 7 V G 9 0 Y W F s I G F h b n R h b C B k Z W V s b m V t Z X J z L D M 0 f S Z x d W 9 0 O y w m c X V v d D t T Z W N 0 a W 9 u M S 9 L c m l u Z 2 R h Z 2 V u L 0 F 1 d G 9 S Z W 1 v d m V k Q 2 9 s d W 1 u c z E u e 1 d h Y X J 2 Y W 4 g Y W F u d G F s I G p l d W d k I C h 0 L 2 0 g M T U g a m F h c i k s M z V 9 J n F 1 b 3 Q 7 L C Z x d W 9 0 O 1 N l Y 3 R p b 2 4 x L 0 t y a W 5 n Z G F n Z W 4 v Q X V 0 b 1 J l b W 9 2 Z W R D b 2 x 1 b W 5 z M S 5 7 S 2 F u b 2 4 g Z X R j L i w z N n 0 m c X V v d D s s J n F 1 b 3 Q 7 U 2 V j d G l v b j E v S 3 J p b m d k Y W d l b i 9 B d X R v U m V t b 3 Z l Z E N v b H V t b n M x L n t Q Y W F y Z G V u I G V u L 2 9 m I G t v Z X R z Z W 4 s M z d 9 J n F 1 b 3 Q 7 L C Z x d W 9 0 O 1 N l Y 3 R p b 2 4 x L 0 t y a W 5 n Z G F n Z W 4 v Q X V 0 b 1 J l b W 9 2 Z W R D b 2 x 1 b W 5 z M S 5 7 V G 9 l b G l j a H R p b m c v b 3 B t Z X J r a W 5 n Z W 4 s M z h 9 J n F 1 b 3 Q 7 L C Z x d W 9 0 O 1 N l Y 3 R p b 2 4 x L 0 t y a W 5 n Z G F n Z W 4 v Q X V 0 b 1 J l b W 9 2 Z W R D b 2 x 1 b W 5 z M S 5 7 S W 5 6 Z W 5 k a W 5 n L U l E L D M 5 f S Z x d W 9 0 O y w m c X V v d D t T Z W N 0 a W 9 u M S 9 L c m l u Z 2 R h Z 2 V u L 0 F 1 d G 9 S Z W 1 v d m V k Q 2 9 s d W 1 u c z E u e 0 l u e m V u Z G R h d H V t L D Q w f S Z x d W 9 0 O y w m c X V v d D t T Z W N 0 a W 9 u M S 9 L c m l u Z 2 R h Z 2 V u L 0 F 1 d G 9 S Z W 1 v d m V k Q 2 9 s d W 1 u c z E u e 0 R h d G U g V X B k Y X R l Z C w 0 M X 0 m c X V v d D s s J n F 1 b 3 Q 7 U 2 V j d G l v b j E v S 3 J p b m d k Y W d l b i 9 B d X R v U m V t b 3 Z l Z E N v b H V t b n M x L n t O Y W F t I H Z h b i B o Z X Q g a G 9 v Z m R r b 3 J w c y w 0 M n 0 m c X V v d D s s J n F 1 b 3 Q 7 U 2 V j d G l v b j E v S 3 J p b m d k Y W d l b i 9 B d X R v U m V t b 3 Z l Z E N v b H V t b n M x L n t a Y W w g b 3 A g d H J l Z G V u I G F s c y A o a G 9 v Z m R r b 3 J w c y k s N D N 9 J n F 1 b 3 Q 7 L C Z x d W 9 0 O 1 N l Y 3 R p b 2 4 x L 0 t y a W 5 n Z G F n Z W 4 v Q X V 0 b 1 J l b W 9 2 Z W R D b 2 x 1 b W 5 z M S 5 7 V m 9 y b S B 2 Y W 4 g d H d l Z S B t d X p p Z W t 3 Z X J r Z W 4 g K G h v b 2 Z k a 2 9 y c H M p L D Q 0 f S Z x d W 9 0 O y w m c X V v d D t T Z W N 0 a W 9 u M S 9 L c m l u Z 2 R h Z 2 V u L 0 F 1 d G 9 S Z W 1 v d m V k Q 2 9 s d W 1 u c z E u e 1 p h b C B 1 a X R r b 2 1 l b i B p b i B k Z T o g K G h v b 2 Z k a 2 9 y c H M p L D Q 1 f S Z x d W 9 0 O y w m c X V v d D t T Z W N 0 a W 9 u M S 9 L c m l u Z 2 R h Z 2 V u L 0 F 1 d G 9 S Z W 1 v d m V k Q 2 9 s d W 1 u c z E u e 0 1 1 e m l l a 3 d l c m s x I C h o b 2 9 m Z G t v c n B z K S w 0 N n 0 m c X V v d D s s J n F 1 b 3 Q 7 U 2 V j d G l v b j E v S 3 J p b m d k Y W d l b i 9 B d X R v U m V t b 3 Z l Z E N v b H V t b n M x L n t N d X p p Z W t 3 Z X J r M i A o a G 9 v Z m R r b 3 J w c y k s N D d 9 J n F 1 b 3 Q 7 L C Z x d W 9 0 O 1 N l Y 3 R p b 2 4 x L 0 t y a W 5 n Z G F n Z W 4 v Q X V 0 b 1 J l b W 9 2 Z W R D b 2 x 1 b W 5 z M S 5 7 S 2 9 y c H M g Y m V z d G F h d C B 1 a X Q g L i 4 u I G R l Z W x u Z W 1 l c n M g K G h v b 2 Z k a 2 9 y c H M p L D Q 4 f S Z x d W 9 0 O y w m c X V v d D t T Z W N 0 a W 9 u M S 9 L c m l u Z 2 R h Z 2 V u L 0 F 1 d G 9 S Z W 1 v d m V k Q 2 9 s d W 1 u c z E u e 1 d v c m R 0 I G V y I G d l Y n J 1 a W s g Z 2 V t Y W F r d C B 2 Y W 4 g b W V j a G F u a X N j a G U g b X V 6 a W V r P y w 0 O X 0 m c X V v d D s s J n F 1 b 3 Q 7 U 2 V j d G l v b j E v S 3 J p b m d k Y W d l b i 9 B d X R v U m V t b 3 Z l Z E N v b H V t b n M x L n t P b m R l c m R l b G V u L D U w f S Z x d W 9 0 O y w m c X V v d D t T Z W N 0 a W 9 u M S 9 L c m l u Z 2 R h Z 2 V u L 0 F 1 d G 9 S Z W 1 v d m V k Q 2 9 s d W 1 u c z E u e 1 N l Y 3 R p Z X M s N T F 9 J n F 1 b 3 Q 7 L C Z x d W 9 0 O 1 N l Y 3 R p b 2 4 x L 0 t y a W 5 n Z G F n Z W 4 v Q X V 0 b 1 J l b W 9 2 Z W R D b 2 x 1 b W 5 z M S 5 7 T G V l Z n R p a m R z Y 2 F 0 Z W d v c m l l L D U y f S Z x d W 9 0 O 1 0 s J n F 1 b 3 Q 7 Q 2 9 s d W 1 u Q 2 9 1 b n Q m c X V v d D s 6 N T M s J n F 1 b 3 Q 7 S 2 V 5 Q 2 9 s d W 1 u T m F t Z X M m c X V v d D s 6 W 1 0 s J n F 1 b 3 Q 7 Q 2 9 s d W 1 u S W R l b n R p d G l l c y Z x d W 9 0 O z p b J n F 1 b 3 Q 7 U 2 V j d G l v b j E v S 3 J p b m d k Y W d l b i 9 B d X R v U m V t b 3 Z l Z E N v b H V t b n M x L n t L c m l u Z 2 R h Z y w w f S Z x d W 9 0 O y w m c X V v d D t T Z W N 0 a W 9 u M S 9 L c m l u Z 2 R h Z 2 V u L 0 F 1 d G 9 S Z W 1 v d m V k Q 2 9 s d W 1 u c z E u e 1 Z l c i 5 u c i 4 s M X 0 m c X V v d D s s J n F 1 b 3 Q 7 U 2 V j d G l v b j E v S 3 J p b m d k Y W d l b i 9 B d X R v U m V t b 3 Z l Z E N v b H V t b n M x L n t O Y W F t I H Z l c m V u a W d p b m c s M n 0 m c X V v d D s s J n F 1 b 3 Q 7 U 2 V j d G l v b j E v S 3 J p b m d k Y W d l b i 9 B d X R v U m V t b 3 Z l Z E N v b H V t b n M x L n t E Z W x l Z 2 F 0 a W U s M 3 0 m c X V v d D s s J n F 1 b 3 Q 7 U 2 V j d G l v b j E v S 3 J p b m d k Y W d l b i 9 B d X R v U m V t b 3 Z l Z E N v b H V t b n M x L n t N d X p p Z W t r b 3 J w c y B 0 a W p k Z W 5 z I G 1 h c n M g Z W 4 g Z G V m a W x c d T A w R T k s N H 0 m c X V v d D s s J n F 1 b 3 Q 7 U 2 V j d G l v b j E v S 3 J p b m d k Y W d l b i 9 B d X R v U m V t b 3 Z l Z E N v b H V t b n M x L n t E Z W V s b m F t Z S B q Z X V n Z G t v b m l u Z 3 N j a G l l d G V u L D V 9 J n F 1 b 3 Q 7 L C Z x d W 9 0 O 1 N l Y 3 R p b 2 4 x L 0 t y a W 5 n Z G F n Z W 4 v Q X V 0 b 1 J l b W 9 2 Z W R D b 2 x 1 b W 5 z M S 5 7 T W F q L i B T Z W 5 p b 3 J l b i B q d X J l c m V u I G J p a i B t Y X J z L D Z 9 J n F 1 b 3 Q 7 L C Z x d W 9 0 O 1 N l Y 3 R p b 2 4 x L 0 t y a W 5 n Z G F n Z W 4 v Q X V 0 b 1 J l b W 9 2 Z W R D b 2 x 1 b W 5 z M S 5 7 T W F q L i B K Z X V n Z C B q d X J l c m V u I G J p a i B t Y X J z L D d 9 J n F 1 b 3 Q 7 L C Z x d W 9 0 O 1 N l Y 3 R p b 2 4 x L 0 t y a W 5 n Z G F n Z W 4 v Q X V 0 b 1 J l b W 9 2 Z W R D b 2 x 1 b W 5 z M S 5 7 S 2 9 y c H M g c 2 V u a W 9 y Z W 4 s O H 0 m c X V v d D s s J n F 1 b 3 Q 7 U 2 V j d G l v b j E v S 3 J p b m d k Y W d l b i 9 B d X R v U m V t b 3 Z l Z E N v b H V t b n M x L n t K d W 5 p b 3 J l b i B r b 3 J w c y A x L D l 9 J n F 1 b 3 Q 7 L C Z x d W 9 0 O 1 N l Y 3 R p b 2 4 x L 0 t y a W 5 n Z G F n Z W 4 v Q X V 0 b 1 J l b W 9 2 Z W R D b 2 x 1 b W 5 z M S 5 7 S n V u a W 9 y Z W 4 g a 2 9 y c H M g M i w x M H 0 m c X V v d D s s J n F 1 b 3 Q 7 U 2 V j d G l v b j E v S 3 J p b m d k Y W d l b i 9 B d X R v U m V t b 3 Z l Z E N v b H V t b n M x L n t B c 3 B p c m F u d G V u I G t v c n B z I D E s M T F 9 J n F 1 b 3 Q 7 L C Z x d W 9 0 O 1 N l Y 3 R p b 2 4 x L 0 t y a W 5 n Z G F n Z W 4 v Q X V 0 b 1 J l b W 9 2 Z W R D b 2 x 1 b W 5 z M S 5 7 Q X N w a X J h b n R l b i B r b 3 J w c y A y L D E y f S Z x d W 9 0 O y w m c X V v d D t T Z W N 0 a W 9 u M S 9 L c m l u Z 2 R h Z 2 V u L 0 F 1 d G 9 S Z W 1 v d m V k Q 2 9 s d W 1 u c z E u e 0 F j c m 9 i Y X R p c 2 N o I H N l b m l v c m V u L D E z f S Z x d W 9 0 O y w m c X V v d D t T Z W N 0 a W 9 u M S 9 L c m l u Z 2 R h Z 2 V u L 0 F 1 d G 9 S Z W 1 v d m V k Q 2 9 s d W 1 u c z E u e 0 F j c m 9 i Y X R p c 2 N o I G p 1 b m l v c m V u L D E 0 f S Z x d W 9 0 O y w m c X V v d D t T Z W N 0 a W 9 u M S 9 L c m l u Z 2 R h Z 2 V u L 0 F 1 d G 9 S Z W 1 v d m V k Q 2 9 s d W 1 u c z E u e 0 F j c m 9 i Y X R p c 2 N o I G F z c G l y Y W 5 0 Z W 4 s M T V 9 J n F 1 b 3 Q 7 L C Z x d W 9 0 O 1 N l Y 3 R p b 2 4 x L 0 t y a W 5 n Z G F n Z W 4 v Q X V 0 b 1 J l b W 9 2 Z W R D b 2 x 1 b W 5 z M S 5 7 T 3 B n Z X Z l b i B 2 Z W 5 k Z W x p Z X J z I G l u Z C 4 s M T Z 9 J n F 1 b 3 Q 7 L C Z x d W 9 0 O 1 N l Y 3 R p b 2 4 x L 0 t y a W 5 n Z G F n Z W 4 v Q X V 0 b 1 J l b W 9 2 Z W R D b 2 x 1 b W 5 z M S 5 7 Q W N y b 2 I u I H N l b m l v c m V u I G l u Z G l 2 L i w x N 3 0 m c X V v d D s s J n F 1 b 3 Q 7 U 2 V j d G l v b j E v S 3 J p b m d k Y W d l b i 9 B d X R v U m V t b 3 Z l Z E N v b H V t b n M x L n t B Y 3 J v Y i 4 g a n V u a W 9 y Z W 4 g a W 5 k a X Y u L D E 4 f S Z x d W 9 0 O y w m c X V v d D t T Z W N 0 a W 9 u M S 9 L c m l u Z 2 R h Z 2 V u L 0 F 1 d G 9 S Z W 1 v d m V k Q 2 9 s d W 1 u c z E u e 0 F j c m 9 i L i B h c 3 B p c m F u d G V u I G l u Z G l 2 L i w x O X 0 m c X V v d D s s J n F 1 b 3 Q 7 U 2 V j d G l v b j E v S 3 J p b m d k Y W d l b i 9 B d X R v U m V t b 3 Z l Z E N v b H V t b n M x L n t E Z W V s b m F t Z S B o b 2 9 m Z G t v c n B z L D I w f S Z x d W 9 0 O y w m c X V v d D t T Z W N 0 a W 9 u M S 9 L c m l u Z 2 R h Z 2 V u L 0 F 1 d G 9 S Z W 1 v d m V k Q 2 9 s d W 1 u c z E u e 0 d y b 2 V w Z W 4 s I H R l Y W 1 z L C B l b n N l b W J s Z X M g Z W 4 g Z H V v X H U w M D I 3 c y w y M X 0 m c X V v d D s s J n F 1 b 3 Q 7 U 2 V j d G l v b j E v S 3 J p b m d k Y W d l b i 9 B d X R v U m V t b 3 Z l Z E N v b H V t b n M x L n t B Y W 5 0 Y W w g b 3 B n Z W d l d m V u I G 1 h a m 9 y Z X R 0 Z X M s M j J 9 J n F 1 b 3 Q 7 L C Z x d W 9 0 O 1 N l Y 3 R p b 2 4 x L 0 t y a W 5 n Z G F n Z W 4 v Q X V 0 b 1 J l b W 9 2 Z W R D b 2 x 1 b W 5 z M S 5 7 T 3 B n Z X Z l b i B i a W V s Z W 1 h b m 5 l b i w y M 3 0 m c X V v d D s s J n F 1 b 3 Q 7 U 2 V j d G l v b j E v S 3 J p b m d k Y W d l b i 9 B d X R v U m V t b 3 Z l Z E N v b H V t b n M x L n t T Z W 5 p b 3 J l b i w y N H 0 m c X V v d D s s J n F 1 b 3 Q 7 U 2 V j d G l v b j E v S 3 J p b m d k Y W d l b i 9 B d X R v U m V t b 3 Z l Z E N v b H V t b n M x L n t K b 2 5 n I F Z v b H d h c 3 N l b m U s M j V 9 J n F 1 b 3 Q 7 L C Z x d W 9 0 O 1 N l Y 3 R p b 2 4 x L 0 t y a W 5 n Z G F n Z W 4 v Q X V 0 b 1 J l b W 9 2 Z W R D b 2 x 1 b W 5 z M S 5 7 S n V u a W 9 y Z W 4 s M j Z 9 J n F 1 b 3 Q 7 L C Z x d W 9 0 O 1 N l Y 3 R p b 2 4 x L 0 t y a W 5 n Z G F n Z W 4 v Q X V 0 b 1 J l b W 9 2 Z W R D b 2 x 1 b W 5 z M S 5 7 Q X N w a X J h b n R l b i w y N 3 0 m c X V v d D s s J n F 1 b 3 Q 7 U 2 V j d G l v b j E v S 3 J p b m d k Y W d l b i 9 B d X R v U m V t b 3 Z l Z E N v b H V t b n M x L n t E Z W V s b m F t Z S B t Y X J r Z X R l b n R z d G V y c y w y O H 0 m c X V v d D s s J n F 1 b 3 Q 7 U 2 V j d G l v b j E v S 3 J p b m d k Y W d l b i 9 B d X R v U m V t b 3 Z l Z E N v b H V t b n M x L n t B Y W 5 0 Y W w g b H V j a H R n Z X d l Z X J z Y 2 h 1 d H R l c n M s M j l 9 J n F 1 b 3 Q 7 L C Z x d W 9 0 O 1 N l Y 3 R p b 2 4 x L 0 t y a W 5 n Z G F n Z W 4 v Q X V 0 b 1 J l b W 9 2 Z W R D b 2 x 1 b W 5 z M S 5 7 Q W F u d G F s I G x 1 Y 2 h 0 c G l z d G 9 v b H N j a H V 0 d G V y c y w z M H 0 m c X V v d D s s J n F 1 b 3 Q 7 U 2 V j d G l v b j E v S 3 J p b m d k Y W d l b i 9 B d X R v U m V t b 3 Z l Z E N v b H V t b n M x L n t B Y W 5 0 Y W w g a G F u Z G J v b 2 d z Y 2 h 1 d H R l c n M s M z F 9 J n F 1 b 3 Q 7 L C Z x d W 9 0 O 1 N l Y 3 R p b 2 4 x L 0 t y a W 5 n Z G F n Z W 4 v Q X V 0 b 1 J l b W 9 2 Z W R D b 2 x 1 b W 5 z M S 5 7 Q W F u d G F s I G t y d W l z Y m 9 v Z 3 N j a H V 0 d G V y c y w z M n 0 m c X V v d D s s J n F 1 b 3 Q 7 U 2 V j d G l v b j E v S 3 J p b m d k Y W d l b i 9 B d X R v U m V t b 3 Z l Z E N v b H V t b n M x L n s o Q W F u d G F s I G p l d W d k a 2 9 y c H N l b i w z M 3 0 m c X V v d D s s J n F 1 b 3 Q 7 U 2 V j d G l v b j E v S 3 J p b m d k Y W d l b i 9 B d X R v U m V t b 3 Z l Z E N v b H V t b n M x L n t U b 3 R h Y W w g Y W F u d G F s I G R l Z W x u Z W 1 l c n M s M z R 9 J n F 1 b 3 Q 7 L C Z x d W 9 0 O 1 N l Y 3 R p b 2 4 x L 0 t y a W 5 n Z G F n Z W 4 v Q X V 0 b 1 J l b W 9 2 Z W R D b 2 x 1 b W 5 z M S 5 7 V 2 F h c n Z h b i B h Y W 5 0 Y W w g a m V 1 Z 2 Q g K H Q v b S A x N S B q Y W F y K S w z N X 0 m c X V v d D s s J n F 1 b 3 Q 7 U 2 V j d G l v b j E v S 3 J p b m d k Y W d l b i 9 B d X R v U m V t b 3 Z l Z E N v b H V t b n M x L n t L Y W 5 v b i B l d G M u L D M 2 f S Z x d W 9 0 O y w m c X V v d D t T Z W N 0 a W 9 u M S 9 L c m l u Z 2 R h Z 2 V u L 0 F 1 d G 9 S Z W 1 v d m V k Q 2 9 s d W 1 u c z E u e 1 B h Y X J k Z W 4 g Z W 4 v b 2 Y g a 2 9 l d H N l b i w z N 3 0 m c X V v d D s s J n F 1 b 3 Q 7 U 2 V j d G l v b j E v S 3 J p b m d k Y W d l b i 9 B d X R v U m V t b 3 Z l Z E N v b H V t b n M x L n t U b 2 V s a W N o d G l u Z y 9 v c G 1 l c m t p b m d l b i w z O H 0 m c X V v d D s s J n F 1 b 3 Q 7 U 2 V j d G l v b j E v S 3 J p b m d k Y W d l b i 9 B d X R v U m V t b 3 Z l Z E N v b H V t b n M x L n t J b n p l b m R p b m c t S U Q s M z l 9 J n F 1 b 3 Q 7 L C Z x d W 9 0 O 1 N l Y 3 R p b 2 4 x L 0 t y a W 5 n Z G F n Z W 4 v Q X V 0 b 1 J l b W 9 2 Z W R D b 2 x 1 b W 5 z M S 5 7 S W 5 6 Z W 5 k Z G F 0 d W 0 s N D B 9 J n F 1 b 3 Q 7 L C Z x d W 9 0 O 1 N l Y 3 R p b 2 4 x L 0 t y a W 5 n Z G F n Z W 4 v Q X V 0 b 1 J l b W 9 2 Z W R D b 2 x 1 b W 5 z M S 5 7 R G F 0 Z S B V c G R h d G V k L D Q x f S Z x d W 9 0 O y w m c X V v d D t T Z W N 0 a W 9 u M S 9 L c m l u Z 2 R h Z 2 V u L 0 F 1 d G 9 S Z W 1 v d m V k Q 2 9 s d W 1 u c z E u e 0 5 h Y W 0 g d m F u I G h l d C B o b 2 9 m Z G t v c n B z L D Q y f S Z x d W 9 0 O y w m c X V v d D t T Z W N 0 a W 9 u M S 9 L c m l u Z 2 R h Z 2 V u L 0 F 1 d G 9 S Z W 1 v d m V k Q 2 9 s d W 1 u c z E u e 1 p h b C B v c C B 0 c m V k Z W 4 g Y W x z I C h o b 2 9 m Z G t v c n B z K S w 0 M 3 0 m c X V v d D s s J n F 1 b 3 Q 7 U 2 V j d G l v b j E v S 3 J p b m d k Y W d l b i 9 B d X R v U m V t b 3 Z l Z E N v b H V t b n M x L n t W b 3 J t I H Z h b i B 0 d 2 V l I G 1 1 e m l l a 3 d l c m t l b i A o a G 9 v Z m R r b 3 J w c y k s N D R 9 J n F 1 b 3 Q 7 L C Z x d W 9 0 O 1 N l Y 3 R p b 2 4 x L 0 t y a W 5 n Z G F n Z W 4 v Q X V 0 b 1 J l b W 9 2 Z W R D b 2 x 1 b W 5 z M S 5 7 W m F s I H V p d G t v b W V u I G l u I G R l O i A o a G 9 v Z m R r b 3 J w c y k s N D V 9 J n F 1 b 3 Q 7 L C Z x d W 9 0 O 1 N l Y 3 R p b 2 4 x L 0 t y a W 5 n Z G F n Z W 4 v Q X V 0 b 1 J l b W 9 2 Z W R D b 2 x 1 b W 5 z M S 5 7 T X V 6 a W V r d 2 V y a z E g K G h v b 2 Z k a 2 9 y c H M p L D Q 2 f S Z x d W 9 0 O y w m c X V v d D t T Z W N 0 a W 9 u M S 9 L c m l u Z 2 R h Z 2 V u L 0 F 1 d G 9 S Z W 1 v d m V k Q 2 9 s d W 1 u c z E u e 0 1 1 e m l l a 3 d l c m s y I C h o b 2 9 m Z G t v c n B z K S w 0 N 3 0 m c X V v d D s s J n F 1 b 3 Q 7 U 2 V j d G l v b j E v S 3 J p b m d k Y W d l b i 9 B d X R v U m V t b 3 Z l Z E N v b H V t b n M x L n t L b 3 J w c y B i Z X N 0 Y W F 0 I H V p d C A u L i 4 g Z G V l b G 5 l b W V y c y A o a G 9 v Z m R r b 3 J w c y k s N D h 9 J n F 1 b 3 Q 7 L C Z x d W 9 0 O 1 N l Y 3 R p b 2 4 x L 0 t y a W 5 n Z G F n Z W 4 v Q X V 0 b 1 J l b W 9 2 Z W R D b 2 x 1 b W 5 z M S 5 7 V 2 9 y Z H Q g Z X I g Z 2 V i c n V p a y B n Z W 1 h Y W t 0 I H Z h b i B t Z W N o Y W 5 p c 2 N o Z S B t d X p p Z W s / L D Q 5 f S Z x d W 9 0 O y w m c X V v d D t T Z W N 0 a W 9 u M S 9 L c m l u Z 2 R h Z 2 V u L 0 F 1 d G 9 S Z W 1 v d m V k Q 2 9 s d W 1 u c z E u e 0 9 u Z G V y Z G V s Z W 4 s N T B 9 J n F 1 b 3 Q 7 L C Z x d W 9 0 O 1 N l Y 3 R p b 2 4 x L 0 t y a W 5 n Z G F n Z W 4 v Q X V 0 b 1 J l b W 9 2 Z W R D b 2 x 1 b W 5 z M S 5 7 U 2 V j d G l l c y w 1 M X 0 m c X V v d D s s J n F 1 b 3 Q 7 U 2 V j d G l v b j E v S 3 J p b m d k Y W d l b i 9 B d X R v U m V t b 3 Z l Z E N v b H V t b n M x L n t M Z W V m d G l q Z H N j Y X R l Z 2 9 y a W U s N T J 9 J n F 1 b 3 Q 7 X S w m c X V v d D t S Z W x h d G l v b n N o a X B J b m Z v J n F 1 b 3 Q 7 O l t d f S I g L z 4 8 R W 5 0 c n k g V H l w Z T 0 i Q W R k Z W R U b 0 R h d G F N b 2 R l b C I g V m F s d W U 9 I m w w I i A v P j w v U 3 R h Y m x l R W 5 0 c m l l c z 4 8 L 0 l 0 Z W 0 + P E l 0 Z W 0 + P E l 0 Z W 1 M b 2 N h d G l v b j 4 8 S X R l b V R 5 c G U + R m 9 y b X V s Y T w v S X R l b V R 5 c G U + P E l 0 Z W 1 Q Y X R o P l N l Y 3 R p b 2 4 x L 0 t y a W 5 n Z G F n Z W 4 v Q n J v b j w v S X R l b V B h d G g + P C 9 J d G V t T G 9 j Y X R p b 2 4 + P F N 0 Y W J s Z U V u d H J p Z X M g L z 4 8 L 0 l 0 Z W 0 + P E l 0 Z W 0 + P E l 0 Z W 1 M b 2 N h d G l v b j 4 8 S X R l b V R 5 c G U + R m 9 y b X V s Y T w v S X R l b V R 5 c G U + P E l 0 Z W 1 Q Y X R o P l N l Y 3 R p b 2 4 x L 0 t y a W 5 n Z G F n Z W 4 v S G V 0 J T I w a 2 9 s b 2 1 0 e X B l J T I w a X M l M j B n Z X d p a n p p Z 2 Q 8 L 0 l 0 Z W 1 Q Y X R o P j w v S X R l b U x v Y 2 F 0 a W 9 u P j x T d G F i b G V F b n R y a W V z I C 8 + P C 9 J d G V t P j w v S X R l b X M + P C 9 M b 2 N h b F B h Y 2 t h Z 2 V N Z X R h Z G F 0 Y U Z p b G U + F g A A A F B L B Q Y A A A A A A A A A A A A A A A A A A A A A A A B k A A A A i z B R Y d H 7 N t 7 m n k B K R 7 l q T 7 H O 4 G L t z 7 o l B o K X e O n B w B q P X d U E 3 E d a H t 1 E I 1 s O P t U L j M E 4 h u c A S g w i t n F W O b E h R v T Y 5 b w L z q M o O h R F x T 7 a 7 h 6 J O u I S G F r l T O 6 E U j y o 7 u 3 + H 7 E + a A = = < / D a t a M a s h u p > 
</file>

<file path=customXml/itemProps1.xml><?xml version="1.0" encoding="utf-8"?>
<ds:datastoreItem xmlns:ds="http://schemas.openxmlformats.org/officeDocument/2006/customXml" ds:itemID="{4A531949-6BE2-4996-A31A-B2AE19440964}">
  <ds:schemaRefs>
    <ds:schemaRef ds:uri="http://schemas.microsoft.com/sharepoint/v3/contenttype/forms"/>
  </ds:schemaRefs>
</ds:datastoreItem>
</file>

<file path=customXml/itemProps2.xml><?xml version="1.0" encoding="utf-8"?>
<ds:datastoreItem xmlns:ds="http://schemas.openxmlformats.org/officeDocument/2006/customXml" ds:itemID="{4C6B04D2-3A34-43D6-AE19-27D8B6662CDC}">
  <ds:schemaRefs>
    <ds:schemaRef ds:uri="http://www.w3.org/XML/1998/namespace"/>
    <ds:schemaRef ds:uri="http://schemas.microsoft.com/office/infopath/2007/PartnerControls"/>
    <ds:schemaRef ds:uri="http://purl.org/dc/elements/1.1/"/>
    <ds:schemaRef ds:uri="65ad308b-2083-401f-bfeb-b2b7430ea54a"/>
    <ds:schemaRef ds:uri="16868e8d-a882-449e-81d4-1ad0b5292899"/>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F90D8958-8484-4941-869E-8263957A86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68e8d-a882-449e-81d4-1ad0b5292899"/>
    <ds:schemaRef ds:uri="65ad308b-2083-401f-bfeb-b2b7430ea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A11DB6-8985-46B0-9B19-824420130A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9</vt:i4>
      </vt:variant>
    </vt:vector>
  </HeadingPairs>
  <TitlesOfParts>
    <vt:vector size="9" baseType="lpstr">
      <vt:lpstr>Kringdagen</vt:lpstr>
      <vt:lpstr>KDM</vt:lpstr>
      <vt:lpstr>KDRvNB</vt:lpstr>
      <vt:lpstr>KDL</vt:lpstr>
      <vt:lpstr>KDA</vt:lpstr>
      <vt:lpstr>LJ</vt:lpstr>
      <vt:lpstr>FSD</vt:lpstr>
      <vt:lpstr>GKVI</vt:lpstr>
      <vt:lpstr>BIEL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Tjebbe</dc:creator>
  <cp:keywords/>
  <dc:description/>
  <cp:lastModifiedBy>Tjebbe Kersten</cp:lastModifiedBy>
  <cp:revision/>
  <dcterms:created xsi:type="dcterms:W3CDTF">2021-08-01T11:23:23Z</dcterms:created>
  <dcterms:modified xsi:type="dcterms:W3CDTF">2026-01-01T09:31:43Z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0x010100628E49110E16CA4CAD6807469259A23F</vt:lpwstr>
  </property>
</Properties>
</file>