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tables/table5.xml" ContentType="application/vnd.openxmlformats-officedocument.spreadsheetml.table+xml"/>
  <Override PartName="/xl/queryTables/queryTable5.xml" ContentType="application/vnd.openxmlformats-officedocument.spreadsheetml.queryTable+xml"/>
  <Override PartName="/xl/tables/table6.xml" ContentType="application/vnd.openxmlformats-officedocument.spreadsheetml.table+xml"/>
  <Override PartName="/xl/tables/table7.xml" ContentType="application/vnd.openxmlformats-officedocument.spreadsheetml.table+xml"/>
  <Override PartName="/xl/queryTables/queryTable6.xml" ContentType="application/vnd.openxmlformats-officedocument.spreadsheetml.queryTable+xml"/>
  <Override PartName="/xl/tables/table8.xml" ContentType="application/vnd.openxmlformats-officedocument.spreadsheetml.table+xml"/>
  <Override PartName="/xl/queryTables/queryTable7.xml" ContentType="application/vnd.openxmlformats-officedocument.spreadsheetml.queryTable+xml"/>
  <Override PartName="/xl/tables/table9.xml" ContentType="application/vnd.openxmlformats-officedocument.spreadsheetml.table+xml"/>
  <Override PartName="/xl/queryTables/queryTable8.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02"/>
  <workbookPr defaultThemeVersion="166925"/>
  <mc:AlternateContent xmlns:mc="http://schemas.openxmlformats.org/markup-compatibility/2006">
    <mc:Choice Requires="x15">
      <x15ac:absPath xmlns:x15ac="http://schemas.microsoft.com/office/spreadsheetml/2010/11/ac" url="https://schutternet.sharepoint.com/sites/itontwikkeling/Shared Documents/General/Inschrijvingen/2026/csv bestanden/"/>
    </mc:Choice>
  </mc:AlternateContent>
  <xr:revisionPtr revIDLastSave="48" documentId="8_{CB0ACDAA-DEC5-1944-8FF9-36E0E3E31EBD}" xr6:coauthVersionLast="47" xr6:coauthVersionMax="47" xr10:uidLastSave="{BE3512B9-7F24-7F4F-87B8-B9ABEAED7CCF}"/>
  <bookViews>
    <workbookView xWindow="0" yWindow="780" windowWidth="34200" windowHeight="19620" activeTab="7" xr2:uid="{03CD9580-A04D-4759-BAC1-CC6687E7BA10}"/>
  </bookViews>
  <sheets>
    <sheet name="Kringdagen" sheetId="7" r:id="rId1"/>
    <sheet name="KDM" sheetId="3" r:id="rId2"/>
    <sheet name="KDRvNB" sheetId="6" r:id="rId3"/>
    <sheet name="KDL" sheetId="27" r:id="rId4"/>
    <sheet name="KDA" sheetId="5" r:id="rId5"/>
    <sheet name="LJ" sheetId="11" state="hidden" r:id="rId6"/>
    <sheet name="FSD" sheetId="2" r:id="rId7"/>
    <sheet name="GKVI" sheetId="25" r:id="rId8"/>
    <sheet name="BIEL" sheetId="10" r:id="rId9"/>
  </sheets>
  <definedNames>
    <definedName name="ExternalData_1" localSheetId="6" hidden="1">FSD!$A$6:$BA$42</definedName>
    <definedName name="ExternalData_1" localSheetId="7" hidden="1">GKVI!$A$6:$T$40</definedName>
    <definedName name="ExternalData_1" localSheetId="4" hidden="1">KDA!$A$5:$BA$26</definedName>
    <definedName name="ExternalData_1" localSheetId="3" hidden="1">KDL!$A$5:$BA$21</definedName>
    <definedName name="ExternalData_1" localSheetId="2" hidden="1">KDRvNB!$A$6:$BA$18</definedName>
    <definedName name="ExternalData_1" localSheetId="0" hidden="1">Kringdagen!#REF!</definedName>
    <definedName name="ExternalData_2" localSheetId="8" hidden="1">BIEL!$A$5:$K$28</definedName>
    <definedName name="ExternalData_2" localSheetId="1" hidden="1">KDM!$A$6:$BA$20</definedName>
    <definedName name="ExternalData_3" localSheetId="0" hidden="1">Kringdagen!$A$6:$BA$105</definedName>
    <definedName name="ExterneGegevens_1" localSheetId="4" hidden="1">KDA!#REF!</definedName>
    <definedName name="ExterneGegevens_1" localSheetId="1" hidden="1">KDM!#REF!</definedName>
    <definedName name="ExterneGegevens_1" localSheetId="2" hidden="1">KDRvNB!#REF!</definedName>
    <definedName name="ExterneGegevens_1" localSheetId="0" hidden="1">Kringdagen!#REF!</definedName>
    <definedName name="ExterneGegevens_4" localSheetId="5" hidden="1">LJ!$A$6:$BW$7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 i="10" l="1"/>
  <c r="D29" i="10"/>
  <c r="E29" i="10"/>
  <c r="F29" i="10"/>
  <c r="G29" i="10"/>
  <c r="K29" i="10"/>
  <c r="C106" i="7"/>
  <c r="D106" i="7"/>
  <c r="E106" i="7"/>
  <c r="F106" i="7"/>
  <c r="G106" i="7"/>
  <c r="H106" i="7"/>
  <c r="I106" i="7"/>
  <c r="J106" i="7"/>
  <c r="K106" i="7"/>
  <c r="L106" i="7"/>
  <c r="M106" i="7"/>
  <c r="N106" i="7"/>
  <c r="O106" i="7"/>
  <c r="P106" i="7"/>
  <c r="Q106" i="7"/>
  <c r="R106" i="7"/>
  <c r="S106" i="7"/>
  <c r="T106" i="7"/>
  <c r="U106" i="7"/>
  <c r="V106" i="7"/>
  <c r="W106" i="7"/>
  <c r="X106" i="7"/>
  <c r="Y106" i="7"/>
  <c r="Z106" i="7"/>
  <c r="AA106" i="7"/>
  <c r="AB106" i="7"/>
  <c r="AC106" i="7"/>
  <c r="AD106" i="7"/>
  <c r="AE106" i="7"/>
  <c r="AF106" i="7"/>
  <c r="AG106" i="7"/>
  <c r="AH106" i="7"/>
  <c r="AI106" i="7"/>
  <c r="AJ106" i="7"/>
  <c r="AK106" i="7"/>
  <c r="AL106" i="7"/>
  <c r="AW106" i="7"/>
  <c r="E41" i="25"/>
  <c r="F41" i="25"/>
  <c r="G41" i="25"/>
  <c r="H41" i="25"/>
  <c r="I41" i="25"/>
  <c r="J41" i="25"/>
  <c r="K41" i="25"/>
  <c r="L41" i="25"/>
  <c r="M41" i="25"/>
  <c r="N41" i="25"/>
  <c r="O41" i="25"/>
  <c r="P41" i="25"/>
  <c r="Q41" i="25"/>
  <c r="C43" i="2"/>
  <c r="D43" i="2"/>
  <c r="E43" i="2"/>
  <c r="F43" i="2"/>
  <c r="G43" i="2"/>
  <c r="H43" i="2"/>
  <c r="I43" i="2"/>
  <c r="J43" i="2"/>
  <c r="K43" i="2"/>
  <c r="L43" i="2"/>
  <c r="M43" i="2"/>
  <c r="N43" i="2"/>
  <c r="O43" i="2"/>
  <c r="P43" i="2"/>
  <c r="Q43" i="2"/>
  <c r="R43" i="2"/>
  <c r="S43" i="2"/>
  <c r="T43" i="2"/>
  <c r="U43" i="2"/>
  <c r="V43" i="2"/>
  <c r="W43" i="2"/>
  <c r="X43" i="2"/>
  <c r="Y43" i="2"/>
  <c r="Z43" i="2"/>
  <c r="AA43" i="2"/>
  <c r="AB43" i="2"/>
  <c r="AC43" i="2"/>
  <c r="AD43" i="2"/>
  <c r="AE43" i="2"/>
  <c r="AF43" i="2"/>
  <c r="AG43" i="2"/>
  <c r="AH43" i="2"/>
  <c r="AI43" i="2"/>
  <c r="AJ43" i="2"/>
  <c r="AK43" i="2"/>
  <c r="AL43" i="2"/>
  <c r="AW43" i="2"/>
  <c r="C27" i="5"/>
  <c r="D27" i="5"/>
  <c r="E27" i="5"/>
  <c r="F27" i="5"/>
  <c r="G27" i="5"/>
  <c r="H27" i="5"/>
  <c r="I27" i="5"/>
  <c r="J27" i="5"/>
  <c r="K27" i="5"/>
  <c r="L27" i="5"/>
  <c r="M27" i="5"/>
  <c r="N27" i="5"/>
  <c r="O27" i="5"/>
  <c r="P27" i="5"/>
  <c r="Q27" i="5"/>
  <c r="R27" i="5"/>
  <c r="S27" i="5"/>
  <c r="T27" i="5"/>
  <c r="U27" i="5"/>
  <c r="V27" i="5"/>
  <c r="W27" i="5"/>
  <c r="X27" i="5"/>
  <c r="Y27" i="5"/>
  <c r="Z27" i="5"/>
  <c r="AA27" i="5"/>
  <c r="AB27" i="5"/>
  <c r="AC27" i="5"/>
  <c r="AD27" i="5"/>
  <c r="AE27" i="5"/>
  <c r="AF27" i="5"/>
  <c r="AG27" i="5"/>
  <c r="AH27" i="5"/>
  <c r="AI27" i="5"/>
  <c r="AJ27" i="5"/>
  <c r="AK27" i="5"/>
  <c r="AL27" i="5"/>
  <c r="AW27" i="5"/>
  <c r="C22" i="27"/>
  <c r="D22" i="27"/>
  <c r="E22" i="27"/>
  <c r="F22" i="27"/>
  <c r="G22" i="27"/>
  <c r="H22" i="27"/>
  <c r="I22" i="27"/>
  <c r="J22" i="27"/>
  <c r="K22" i="27"/>
  <c r="L22" i="27"/>
  <c r="M22" i="27"/>
  <c r="N22" i="27"/>
  <c r="O22" i="27"/>
  <c r="P22" i="27"/>
  <c r="Q22" i="27"/>
  <c r="R22" i="27"/>
  <c r="S22" i="27"/>
  <c r="T22" i="27"/>
  <c r="U22" i="27"/>
  <c r="V22" i="27"/>
  <c r="W22" i="27"/>
  <c r="X22" i="27"/>
  <c r="Y22" i="27"/>
  <c r="Z22" i="27"/>
  <c r="AA22" i="27"/>
  <c r="AB22" i="27"/>
  <c r="AC22" i="27"/>
  <c r="AD22" i="27"/>
  <c r="AE22" i="27"/>
  <c r="AF22" i="27"/>
  <c r="AG22" i="27"/>
  <c r="AH22" i="27"/>
  <c r="AI22" i="27"/>
  <c r="AJ22" i="27"/>
  <c r="AK22" i="27"/>
  <c r="AL22" i="27"/>
  <c r="AW22" i="27"/>
  <c r="C19" i="6"/>
  <c r="D19" i="6"/>
  <c r="E19" i="6"/>
  <c r="F19" i="6"/>
  <c r="G19" i="6"/>
  <c r="H19" i="6"/>
  <c r="I19" i="6"/>
  <c r="J19" i="6"/>
  <c r="K19" i="6"/>
  <c r="L19" i="6"/>
  <c r="M19" i="6"/>
  <c r="N19" i="6"/>
  <c r="O19" i="6"/>
  <c r="P19" i="6"/>
  <c r="Q19" i="6"/>
  <c r="R19" i="6"/>
  <c r="S19" i="6"/>
  <c r="T19" i="6"/>
  <c r="U19" i="6"/>
  <c r="V19" i="6"/>
  <c r="W19" i="6"/>
  <c r="X19" i="6"/>
  <c r="Y19" i="6"/>
  <c r="Z19" i="6"/>
  <c r="AA19" i="6"/>
  <c r="AB19" i="6"/>
  <c r="AC19" i="6"/>
  <c r="AD19" i="6"/>
  <c r="AE19" i="6"/>
  <c r="AF19" i="6"/>
  <c r="AG19" i="6"/>
  <c r="AH19" i="6"/>
  <c r="AI19" i="6"/>
  <c r="AJ19" i="6"/>
  <c r="AK19" i="6"/>
  <c r="AL19" i="6"/>
  <c r="AW19" i="6"/>
  <c r="C21" i="3"/>
  <c r="D21" i="3"/>
  <c r="E21" i="3"/>
  <c r="F21" i="3"/>
  <c r="G21" i="3"/>
  <c r="H21" i="3"/>
  <c r="I21" i="3"/>
  <c r="J21" i="3"/>
  <c r="K21" i="3"/>
  <c r="L21" i="3"/>
  <c r="M21" i="3"/>
  <c r="N21" i="3"/>
  <c r="O21" i="3"/>
  <c r="P21" i="3"/>
  <c r="Q21" i="3"/>
  <c r="R21" i="3"/>
  <c r="S21" i="3"/>
  <c r="T21" i="3"/>
  <c r="U21" i="3"/>
  <c r="V21" i="3"/>
  <c r="W21" i="3"/>
  <c r="X21" i="3"/>
  <c r="Y21" i="3"/>
  <c r="Z21" i="3"/>
  <c r="AA21" i="3"/>
  <c r="AB21" i="3"/>
  <c r="AD21" i="3"/>
  <c r="AE21" i="3"/>
  <c r="AF21" i="3"/>
  <c r="AG21" i="3"/>
  <c r="AH21" i="3"/>
  <c r="AI21" i="3"/>
  <c r="AJ21" i="3"/>
  <c r="AM8" i="11" l="1"/>
  <c r="CG8" i="11" l="1"/>
  <c r="AO8" i="11"/>
  <c r="AN8" i="11"/>
  <c r="AL8" i="11"/>
  <c r="AK8" i="11"/>
  <c r="AJ8" i="11"/>
  <c r="AI8" i="11"/>
  <c r="AH8" i="11"/>
  <c r="AG8" i="11"/>
  <c r="AF8" i="11"/>
  <c r="AE8" i="11"/>
  <c r="AD8" i="11"/>
  <c r="AC8" i="11"/>
  <c r="AB8" i="11"/>
  <c r="AA8" i="11"/>
  <c r="Z8" i="11"/>
  <c r="Y8" i="11"/>
  <c r="X8" i="11"/>
  <c r="W8" i="11"/>
  <c r="V8" i="11"/>
  <c r="U8" i="11"/>
  <c r="T8" i="11"/>
  <c r="S8" i="11"/>
  <c r="R8" i="11"/>
  <c r="Q8" i="11"/>
  <c r="P8" i="11"/>
  <c r="O8" i="11"/>
  <c r="N8" i="11"/>
  <c r="M8" i="11"/>
  <c r="L8" i="11"/>
  <c r="K8" i="11"/>
  <c r="J8" i="11"/>
  <c r="I8" i="11"/>
  <c r="H8" i="11"/>
  <c r="G8" i="11"/>
  <c r="F8" i="11"/>
  <c r="E8" i="11"/>
  <c r="D8" i="11"/>
  <c r="C8" i="1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25862AB-1258-427D-8EA5-40A8709440DB}" keepAlive="1" name="Query - Bestand transformeren" description="Verbinding maken met de query Bestand transformeren in de werkmap." type="5" refreshedVersion="0" background="1">
    <dbPr connection="Provider=Microsoft.Mashup.OleDb.1;Data Source=$Workbook$;Location=&quot;Bestand transformeren&quot;;Extended Properties=&quot;&quot;" command="SELECT * FROM [Bestand transformeren]"/>
  </connection>
  <connection id="2" xr16:uid="{24C01A1E-D826-4112-9955-886819B151F5}" keepAlive="1" name="Query - Bestand transformeren (2)" description="Verbinding maken met de query Bestand transformeren (2) in de werkmap." type="5" refreshedVersion="0" background="1">
    <dbPr connection="Provider=Microsoft.Mashup.OleDb.1;Data Source=$Workbook$;Location=&quot;Bestand transformeren (2)&quot;;Extended Properties=&quot;&quot;" command="SELECT * FROM [Bestand transformeren (2)]"/>
  </connection>
  <connection id="3" xr16:uid="{CE9F61B0-A57F-8F4C-B87D-1647A57E6F53}" keepAlive="1" name="Query - Bielemantreffen" description="Verbinding maken met de query Bielemantreffen in de werkmap." type="5" refreshedVersion="8" background="1" saveData="1">
    <dbPr connection="Provider=Microsoft.Mashup.OleDb.1;Data Source=$Workbook$;Location=Bielemantreffen;Extended Properties=&quot;&quot;" command="SELECT * FROM [Bielemantreffen]"/>
  </connection>
  <connection id="4" xr16:uid="{69259F06-DFDE-422F-B22F-34F5B8BA4F3C}" keepAlive="1" name="Query - FSD" description="Verbinding maken met de query FSD in de werkmap." type="5" refreshedVersion="8" background="1" saveData="1">
    <dbPr connection="Provider=Microsoft.Mashup.OleDb.1;Data Source=$Workbook$;Location=FSD;Extended Properties=&quot;&quot;" command="SELECT * FROM [FSD]"/>
  </connection>
  <connection id="5" xr16:uid="{8EA0927E-E184-5D42-8D88-4C5DC969043F}" keepAlive="1" name="Query - GKVI" description="Verbinding maken met de query GKVI in de werkmap." type="5" refreshedVersion="8" background="1" saveData="1">
    <dbPr connection="Provider=Microsoft.Mashup.OleDb.1;Data Source=$Workbook$;Location=GKVI;Extended Properties=&quot;&quot;" command="SELECT * FROM [GKVI]"/>
  </connection>
  <connection id="6" xr16:uid="{6F91C644-857E-FF46-ABD6-E65F5BB6C251}" keepAlive="1" name="Query - KDA" description="Verbinding maken met de query KDA in de werkmap." type="5" refreshedVersion="8" background="1" saveData="1">
    <dbPr connection="Provider=Microsoft.Mashup.OleDb.1;Data Source=$Workbook$;Location=KDA;Extended Properties=&quot;&quot;" command="SELECT * FROM [KDA]"/>
  </connection>
  <connection id="7" xr16:uid="{A73B36EC-3D91-6E44-BA97-4DF91C6B6A06}" keepAlive="1" name="Query - KDL(1)" description="Verbinding maken met de query KDL in de werkmap." type="5" refreshedVersion="8" background="1" saveData="1">
    <dbPr connection="Provider=Microsoft.Mashup.OleDb.1;Data Source=$Workbook$;Location=KDL;Extended Properties=&quot;&quot;" command="SELECT * FROM [KDL]"/>
  </connection>
  <connection id="8" xr16:uid="{8FFB42FC-1961-064D-BBD4-F951B34BFBAD}" keepAlive="1" name="Query - KDM" description="Verbinding maken met de query KDM in de werkmap." type="5" refreshedVersion="8" background="1" saveData="1">
    <dbPr connection="Provider=Microsoft.Mashup.OleDb.1;Data Source=$Workbook$;Location=KDM;Extended Properties=&quot;&quot;" command="SELECT * FROM [KDM]"/>
  </connection>
  <connection id="9" xr16:uid="{1E5A8A6C-BF60-4AB0-BB7E-7F5846BE3EBD}" keepAlive="1" name="Query - KDRvNB" description="Verbinding maken met de query KDRvNB in de werkmap." type="5" refreshedVersion="8" background="1" saveData="1">
    <dbPr connection="Provider=Microsoft.Mashup.OleDb.1;Data Source=$Workbook$;Location=KDRvNB;Extended Properties=&quot;&quot;" command="SELECT * FROM [KDRvNB]"/>
  </connection>
  <connection id="10" xr16:uid="{63CAAE99-B64C-9D4B-B5ED-618014ED37AB}" keepAlive="1" name="Query - Kringdagen" description="Verbinding maken met de query Kringdagen in de werkmap." type="5" refreshedVersion="8" background="1" saveData="1">
    <dbPr connection="Provider=Microsoft.Mashup.OleDb.1;Data Source=$Workbook$;Location=Kringdagen;Extended Properties=&quot;&quot;" command="SELECT * FROM [Kringdagen]"/>
  </connection>
  <connection id="11" xr16:uid="{9EB2A673-6133-4718-B17C-8DCFF9F6E361}" keepAlive="1" name="Query - Parameter1" description="Verbinding maken met de query Parameter1 in de werkmap." type="5" refreshedVersion="0" background="1">
    <dbPr connection="Provider=Microsoft.Mashup.OleDb.1;Data Source=$Workbook$;Location=Parameter1;Extended Properties=&quot;&quot;" command="SELECT * FROM [Parameter1]"/>
  </connection>
  <connection id="12" xr16:uid="{57415776-99A3-48CA-9AEB-5FAD9B307722}" keepAlive="1" name="Query - Parameter2" description="Verbinding maken met de query Parameter2 in de werkmap." type="5" refreshedVersion="0" background="1">
    <dbPr connection="Provider=Microsoft.Mashup.OleDb.1;Data Source=$Workbook$;Location=Parameter2;Extended Properties=&quot;&quot;" command="SELECT * FROM [Parameter2]"/>
  </connection>
  <connection id="13" xr16:uid="{14C00971-510E-4456-892D-616488EC8613}" keepAlive="1" name="Query - Voorbeeldbestand" description="Verbinding maken met de query Voorbeeldbestand in de werkmap." type="5" refreshedVersion="0" background="1">
    <dbPr connection="Provider=Microsoft.Mashup.OleDb.1;Data Source=$Workbook$;Location=Voorbeeldbestand;Extended Properties=&quot;&quot;" command="SELECT * FROM [Voorbeeldbestand]"/>
  </connection>
  <connection id="14" xr16:uid="{8850FBBF-3AFD-4368-8D31-E26F6D73CB6B}" keepAlive="1" name="Query - Voorbeeldbestand (2)" description="Verbinding maken met de query Voorbeeldbestand (2) in de werkmap." type="5" refreshedVersion="0" background="1">
    <dbPr connection="Provider=Microsoft.Mashup.OleDb.1;Data Source=$Workbook$;Location=&quot;Voorbeeldbestand (2)&quot;;Extended Properties=&quot;&quot;" command="SELECT * FROM [Voorbeeldbestand (2)]"/>
  </connection>
  <connection id="15" xr16:uid="{3E11B3C3-C94A-4FD2-871D-FF7D335D35BB}" keepAlive="1" name="Query - Voorbeeldbestand transformeren" description="Verbinding maken met de query Voorbeeldbestand transformeren in de werkmap." type="5" refreshedVersion="0" background="1">
    <dbPr connection="Provider=Microsoft.Mashup.OleDb.1;Data Source=$Workbook$;Location=&quot;Voorbeeldbestand transformeren&quot;;Extended Properties=&quot;&quot;" command="SELECT * FROM [Voorbeeldbestand transformeren]"/>
  </connection>
  <connection id="16" xr16:uid="{86331CA9-DD4F-4B74-AFC1-DF8CE4168860}" keepAlive="1" name="Query - Voorbeeldbestand transformeren (2)" description="Verbinding maken met de query Voorbeeldbestand transformeren (2) in de werkmap." type="5" refreshedVersion="0" background="1">
    <dbPr connection="Provider=Microsoft.Mashup.OleDb.1;Data Source=$Workbook$;Location=&quot;Voorbeeldbestand transformeren (2)&quot;;Extended Properties=&quot;&quot;" command="SELECT * FROM [Voorbeeldbestand transformeren (2)]"/>
  </connection>
</connections>
</file>

<file path=xl/sharedStrings.xml><?xml version="1.0" encoding="utf-8"?>
<sst xmlns="http://schemas.openxmlformats.org/spreadsheetml/2006/main" count="5368" uniqueCount="464">
  <si>
    <t>,</t>
  </si>
  <si>
    <t>Start</t>
  </si>
  <si>
    <t>Vendelen</t>
  </si>
  <si>
    <t>Muziek</t>
  </si>
  <si>
    <t>Maj.</t>
  </si>
  <si>
    <t>Bielemannen</t>
  </si>
  <si>
    <t>Mark.</t>
  </si>
  <si>
    <t>Schieten</t>
  </si>
  <si>
    <t>Overige gegevens</t>
  </si>
  <si>
    <t>Details muziek</t>
  </si>
  <si>
    <t>Details majorette</t>
  </si>
  <si>
    <t>Klassiek</t>
  </si>
  <si>
    <t>Acrobatish</t>
  </si>
  <si>
    <t>Show</t>
  </si>
  <si>
    <t>Individueel</t>
  </si>
  <si>
    <t>Hoofdkorps</t>
  </si>
  <si>
    <t>2e korps</t>
  </si>
  <si>
    <t>Kringdag</t>
  </si>
  <si>
    <t>Ver.nr</t>
  </si>
  <si>
    <t>Naam vereniging</t>
  </si>
  <si>
    <t>Delegatie</t>
  </si>
  <si>
    <t>Muziekkorps bij mars en defilé</t>
  </si>
  <si>
    <t>Deeln. jeugdkoningschieten</t>
  </si>
  <si>
    <t>Maj. Senioren jureren bij mars</t>
  </si>
  <si>
    <t>Maj. Jeugd jureren bij mars</t>
  </si>
  <si>
    <t>Korps senioren</t>
  </si>
  <si>
    <t>Acrobatisch senioren</t>
  </si>
  <si>
    <t>Acrobatisch junioren</t>
  </si>
  <si>
    <t>Acrobatisch aspiranten</t>
  </si>
  <si>
    <t>Show senioren</t>
  </si>
  <si>
    <t>Show junioren</t>
  </si>
  <si>
    <t>Show aspiranten</t>
  </si>
  <si>
    <t>Senioren indiv.</t>
  </si>
  <si>
    <t>Junioren indiv.</t>
  </si>
  <si>
    <t>Aspiranten indiv.</t>
  </si>
  <si>
    <t>Sen. ind opgegeven namen</t>
  </si>
  <si>
    <t>Jun. ind opgegeven namen</t>
  </si>
  <si>
    <t>Asp. ind opgegeven namen</t>
  </si>
  <si>
    <t>Senioren</t>
  </si>
  <si>
    <t>Junioren</t>
  </si>
  <si>
    <t>Aspiranten</t>
  </si>
  <si>
    <t>Marketentsters</t>
  </si>
  <si>
    <t>Luchtgeweer</t>
  </si>
  <si>
    <t>Luchtpistool</t>
  </si>
  <si>
    <t>Kruisboog</t>
  </si>
  <si>
    <t>Handboog</t>
  </si>
  <si>
    <t>Totaal aantal deelnemers</t>
  </si>
  <si>
    <t>Waarvan aantal jeugd (t/m 15 jaar)</t>
  </si>
  <si>
    <t>Kanon etc.</t>
  </si>
  <si>
    <t>Paarden en/of koetsen</t>
  </si>
  <si>
    <t>Toelichting/opmerkingen</t>
  </si>
  <si>
    <t>Inzending-ID</t>
  </si>
  <si>
    <t>Inzenddatum</t>
  </si>
  <si>
    <t>Naam van het hoofdkorps</t>
  </si>
  <si>
    <t>Zal op treden als (hoofdkorps)</t>
  </si>
  <si>
    <t>Vorm van twee muziekwerken (hoofdkorps)</t>
  </si>
  <si>
    <t>Zal uitkomen in de: (hoofdkorps)</t>
  </si>
  <si>
    <t>Muziekwerk1 (hoofdkorps)</t>
  </si>
  <si>
    <t>Muziekwerk2 (hoofdkorps)</t>
  </si>
  <si>
    <t>Korps bestaat uit ... deelnemers (hoofdkorps)</t>
  </si>
  <si>
    <t>Naam van het 2e korps</t>
  </si>
  <si>
    <t>Zal op treden als (2e korps)</t>
  </si>
  <si>
    <t>Vorm van twee muziekwerken (2e korps)</t>
  </si>
  <si>
    <t>Zal uitkomen in de: (2e korps)</t>
  </si>
  <si>
    <t>Muziekwerk1 (2e korps)</t>
  </si>
  <si>
    <t>Muziekwerk2 (2e korps)</t>
  </si>
  <si>
    <t>Korps bestaat uit ... deelnemers (2e korps)</t>
  </si>
  <si>
    <t>Onderdelen</t>
  </si>
  <si>
    <t>Secties</t>
  </si>
  <si>
    <t>Leeftijdscategorie</t>
  </si>
  <si>
    <t>Mechanische muziek</t>
  </si>
  <si>
    <t>Aantal opgegeven majorettes</t>
  </si>
  <si>
    <t>x</t>
  </si>
  <si>
    <t/>
  </si>
  <si>
    <t xml:space="preserve"> x</t>
  </si>
  <si>
    <t>Ja</t>
  </si>
  <si>
    <t>Twee stilstaande werken</t>
  </si>
  <si>
    <t>Superieure B (KNMO: tweede divisie)</t>
  </si>
  <si>
    <t>Korps</t>
  </si>
  <si>
    <t>Totaal</t>
  </si>
  <si>
    <t>Kringdag Montferland</t>
  </si>
  <si>
    <t>Kringdag de Liemers</t>
  </si>
  <si>
    <t>Kringdag de Achterhoek</t>
  </si>
  <si>
    <t>Kringdag Rijk van Nijmegen/de Betuwe</t>
  </si>
  <si>
    <t>Landjuweel</t>
  </si>
  <si>
    <t>12 juni 2022, E.M.M. Giesbeek</t>
  </si>
  <si>
    <t>Federatieve schuttersdag</t>
  </si>
  <si>
    <t>Acrobatisch</t>
  </si>
  <si>
    <t>GKVI</t>
  </si>
  <si>
    <t>Korps klassiek senioren</t>
  </si>
  <si>
    <t>Korps acrob. senioren</t>
  </si>
  <si>
    <t>Korps acrob. junioren</t>
  </si>
  <si>
    <t>Korps acrob. aspiranten</t>
  </si>
  <si>
    <t>Opmerkingen</t>
  </si>
  <si>
    <t>Aantal deelnemers</t>
  </si>
  <si>
    <t>Hiervan is aspirant</t>
  </si>
  <si>
    <t>Aantal ver.</t>
  </si>
  <si>
    <t>BIEL</t>
  </si>
  <si>
    <t>Opmerkingen/toelichting</t>
  </si>
  <si>
    <t>Korps 1 klassiek junioren</t>
  </si>
  <si>
    <t>Korps 2 klassiek junioren</t>
  </si>
  <si>
    <t>Korps 1 klassiek aspiranten</t>
  </si>
  <si>
    <t>Korps 2 klassiek aspiranten</t>
  </si>
  <si>
    <t>Date Updated</t>
  </si>
  <si>
    <t>test vereniging</t>
  </si>
  <si>
    <t>Groepen, teams, ensembles en duo's</t>
  </si>
  <si>
    <t>Jong volwassene</t>
  </si>
  <si>
    <t>Opgegeven senioren</t>
  </si>
  <si>
    <t>Opgegeven jong volwassene</t>
  </si>
  <si>
    <t>Opgegeven junioren</t>
  </si>
  <si>
    <t>Opgegeven aspiranten</t>
  </si>
  <si>
    <t>Luchtgeweer jeugd niet ouder dan 17 jaar.</t>
  </si>
  <si>
    <t>Aantal korpsen</t>
  </si>
  <si>
    <t>Opgegeven jeugdkorpsen LG</t>
  </si>
  <si>
    <t>TEST</t>
  </si>
  <si>
    <t>Werk1</t>
  </si>
  <si>
    <t>werk2</t>
  </si>
  <si>
    <t>Aantal luchtgeweerschutters</t>
  </si>
  <si>
    <t>Aantal luchtpistoolschutters</t>
  </si>
  <si>
    <t>Aantal handboogschutters</t>
  </si>
  <si>
    <t>Aantal kruisboogschutters</t>
  </si>
  <si>
    <t>Junioren korps 1</t>
  </si>
  <si>
    <t>Junioren korps 2</t>
  </si>
  <si>
    <t>Aspiranten korps 1</t>
  </si>
  <si>
    <t>Aspiranten korps 2</t>
  </si>
  <si>
    <t>1099</t>
  </si>
  <si>
    <t>aantal</t>
  </si>
  <si>
    <t xml:space="preserve">aantal </t>
  </si>
  <si>
    <t>Groep1</t>
  </si>
  <si>
    <t>Sectie A</t>
  </si>
  <si>
    <t>Senior</t>
  </si>
  <si>
    <t>Verenigingsnummer</t>
  </si>
  <si>
    <t>GKVI2026</t>
  </si>
  <si>
    <t>Acrob. senioren indiv.</t>
  </si>
  <si>
    <t>Acrob. junioren indiv.</t>
  </si>
  <si>
    <t>Acrob. aspiranten indiv.</t>
  </si>
  <si>
    <t>Acrobatisch individueel</t>
  </si>
  <si>
    <t>Korps Klassiek</t>
  </si>
  <si>
    <t>Korps Acrobatisch</t>
  </si>
  <si>
    <t>BIEL2026</t>
  </si>
  <si>
    <t>Jong Volwassene</t>
  </si>
  <si>
    <t>Muziekkorps tijdens mars en defilé</t>
  </si>
  <si>
    <t>Deelname jeugdkoningschieten</t>
  </si>
  <si>
    <t>Deelname marketentsters</t>
  </si>
  <si>
    <t>Deelname hoofdkorps</t>
  </si>
  <si>
    <t>Wordt er gebruik gemaakt van mechanische muziek?</t>
  </si>
  <si>
    <t>Opgeven vendeliers ind.</t>
  </si>
  <si>
    <t>Opgeven bielemannen</t>
  </si>
  <si>
    <t>(Aantal jeugdkorpsen</t>
  </si>
  <si>
    <t>Ver.nr.</t>
  </si>
  <si>
    <t>Majorette</t>
  </si>
  <si>
    <t>Mark</t>
  </si>
  <si>
    <t>Details Majorettes</t>
  </si>
  <si>
    <t>KDA2026</t>
  </si>
  <si>
    <t>KDL2026</t>
  </si>
  <si>
    <t>4008</t>
  </si>
  <si>
    <t>Het Gilde St. Oswaldus Stokkum</t>
  </si>
  <si>
    <t>2023</t>
  </si>
  <si>
    <t>,,,,,,,,,,</t>
  </si>
  <si>
    <t>4018</t>
  </si>
  <si>
    <t>St. Walburgis Gilde Netterden</t>
  </si>
  <si>
    <t>2020</t>
  </si>
  <si>
    <t>2012</t>
  </si>
  <si>
    <t>Schutterij Willem Tell Loo</t>
  </si>
  <si>
    <t>2022</t>
  </si>
  <si>
    <t>4001</t>
  </si>
  <si>
    <t>Schutterij Sint Martinus Dichteren</t>
  </si>
  <si>
    <t>Bielemantreffen 2026</t>
  </si>
  <si>
    <t>Zondag 11 oktober 2026, Onderling Genoegen Duiven</t>
  </si>
  <si>
    <t>Gelders Kampioenschap indoorvendelen</t>
  </si>
  <si>
    <t>Zondag 8 maart 2026, Sint Bavo Angeren</t>
  </si>
  <si>
    <t>6 september 2026, Loil Vooruit</t>
  </si>
  <si>
    <t>26 april 2026, St. Sebastianus Gendt</t>
  </si>
  <si>
    <t>14 juni 2026, St. Andreas 't Grieth Zevenaar</t>
  </si>
  <si>
    <t>28 juni 2026, St. Walburgis Gilde, Netterden</t>
  </si>
  <si>
    <t>19 april 2026, St. Jan Kilder</t>
  </si>
  <si>
    <t>4020</t>
  </si>
  <si>
    <t>Schuttersgilde Wals Wieken Milt Gendringen</t>
  </si>
  <si>
    <t>2027</t>
  </si>
  <si>
    <t>Een marcherend en een stilstaand werk</t>
  </si>
  <si>
    <t>Tiger Drums</t>
  </si>
  <si>
    <t>Pearl</t>
  </si>
  <si>
    <t>4019</t>
  </si>
  <si>
    <t>Schutterij St. Martinus Megchelen</t>
  </si>
  <si>
    <t>2024</t>
  </si>
  <si>
    <t>FSD2026</t>
  </si>
  <si>
    <t>2028</t>
  </si>
  <si>
    <t>2025</t>
  </si>
  <si>
    <t>4023</t>
  </si>
  <si>
    <t>Drumband Schanskloppers Lievelde</t>
  </si>
  <si>
    <t>2034</t>
  </si>
  <si>
    <t>2029</t>
  </si>
  <si>
    <t>1006</t>
  </si>
  <si>
    <t>Schutterij B.U.B. Beek-Ubbergen</t>
  </si>
  <si>
    <t>2032</t>
  </si>
  <si>
    <t>Wij lenen de vaandelstokken van Eendracht Wehl (wel onze eigen doeken eraan) daarom kunnen we niet tegelijk vendelen en zou het fijn zijn als er 15 minuten minimaal tussen beide korpsen zit. Zou hier rekening mee gehouden kunnen worden tijdens de indeling? Alvast bedankt!</t>
  </si>
  <si>
    <t>2035</t>
  </si>
  <si>
    <t>2033</t>
  </si>
  <si>
    <t>2030</t>
  </si>
  <si>
    <t>1007</t>
  </si>
  <si>
    <t>Schutterij Eendracht Ooij</t>
  </si>
  <si>
    <t>2037</t>
  </si>
  <si>
    <t>2036</t>
  </si>
  <si>
    <t>1005</t>
  </si>
  <si>
    <t>Schuttersgenootschap Orde Eendracht Vreugde Millingen a/d Rijn</t>
  </si>
  <si>
    <t>2038</t>
  </si>
  <si>
    <t>4017</t>
  </si>
  <si>
    <t>Schutterij De Eendracht Etten</t>
  </si>
  <si>
    <t>KDM2026</t>
  </si>
  <si>
    <t>3002</t>
  </si>
  <si>
    <t>Schutterij Loil Vooruit</t>
  </si>
  <si>
    <t>2041</t>
  </si>
  <si>
    <t>Nee</t>
  </si>
  <si>
    <t>Team1,Ensemble1,Ensemble2,Ensemble3,Team2,,,,,,</t>
  </si>
  <si>
    <t>Sectie A,Sectie A,Sectie A,Sectie A,Sectie A,,,,,,</t>
  </si>
  <si>
    <t>Senior,Senior,Junior,Jeugd2,Jeugd3,,,,,,</t>
  </si>
  <si>
    <t>4010</t>
  </si>
  <si>
    <t>Schutterij Wilhelmina Azewijn</t>
  </si>
  <si>
    <t>2045</t>
  </si>
  <si>
    <t>Superieure A (KNMO: eerste divisie)</t>
  </si>
  <si>
    <t>Marziale van Jan Schipper</t>
  </si>
  <si>
    <t>Drumspecial van Sandie Egberts</t>
  </si>
  <si>
    <t>2042</t>
  </si>
  <si>
    <t>KDRVNB2026</t>
  </si>
  <si>
    <t>1012</t>
  </si>
  <si>
    <t>De Schutterij Gijsbrecht van Aemstel van Doornenburg en Honderd Morgen</t>
  </si>
  <si>
    <t>Indien er wedstrijden zijn voor de koninginnen wil onze koningin meedoen.</t>
  </si>
  <si>
    <t>2050</t>
  </si>
  <si>
    <t>Sectie A,Sectie A,Sectie A,Sectie A,Sectie A,Sectie A,Sectie A,,,,</t>
  </si>
  <si>
    <t>Jeugd1,Senior,Junior,Jeugd2,Jeugd3,Senior,Jeugd3,,,,</t>
  </si>
  <si>
    <t>2046</t>
  </si>
  <si>
    <t>2043</t>
  </si>
  <si>
    <t>3003</t>
  </si>
  <si>
    <t>Schutterij Wilhelmina Didam</t>
  </si>
  <si>
    <t>2054</t>
  </si>
  <si>
    <t>Ensemble1,Duo1,Duo2,Duo3,Team1,,,,,,</t>
  </si>
  <si>
    <t>Jeugd2,Senior,Senior,Senior,Senior,,,,,,</t>
  </si>
  <si>
    <t>2051</t>
  </si>
  <si>
    <t>2007</t>
  </si>
  <si>
    <t>Schuttersgilde Vrede en Vriendschap Herwen</t>
  </si>
  <si>
    <t>2058</t>
  </si>
  <si>
    <t>2055</t>
  </si>
  <si>
    <t>2052</t>
  </si>
  <si>
    <t>Wij komen zonder muziekkorps en zouden graag net als afgelopen jaar achter de Eendracht Wehl lopen tijdens de Mars en defilewedstrijden. Daarna gebruiken we voor het vendelen de stokken (met eigen doek) van de Eendracht Wehl, het zou dan dus heel fijn zijn als er tijd zit tussen beide korpsen met het vendelen om ze rustig te kunnen wisselen van doek en even in te kunnen zwaaien. Onze jeugdkoning is tevens Federatiekoning voor de jeugd. Hij doet ook mee met het vendelen. Zouden wij daarom vrij vroeg tijdens de vendelwedstrijden kunnen vendelen (senioren waarbij de jeugd mee zwaait) zodat hij daarna rustig mee kan schieten met het jeugdkoningschieten. Alvast bedankt.</t>
  </si>
  <si>
    <t>Ensemble1,Team1,Ensemble2,,,,,,,,</t>
  </si>
  <si>
    <t>Sectie A,Sectie A,Sectie A,,,,,,,,</t>
  </si>
  <si>
    <t>Senior,Jeugd3,Jeugd2,,,,,,,,</t>
  </si>
  <si>
    <t>2059</t>
  </si>
  <si>
    <t>1014a</t>
  </si>
  <si>
    <t>Jong St. Sebastianus Gendt</t>
  </si>
  <si>
    <t>2065</t>
  </si>
  <si>
    <t>1014</t>
  </si>
  <si>
    <t>Schuttersgilde St. Sebastianus</t>
  </si>
  <si>
    <t>2060</t>
  </si>
  <si>
    <t>Showoptreden</t>
  </si>
  <si>
    <t>Disney</t>
  </si>
  <si>
    <t>Show en Marchingband  St. Sebastianus</t>
  </si>
  <si>
    <t>Op Expeditie</t>
  </si>
  <si>
    <t>2064</t>
  </si>
  <si>
    <t>2062</t>
  </si>
  <si>
    <t>3005</t>
  </si>
  <si>
    <t>K.R.K. Schutterij  St. Antonius Nieuw-Dijk</t>
  </si>
  <si>
    <t>2083</t>
  </si>
  <si>
    <t>Groep1,Team1,Ensemble1,,,,,,,,</t>
  </si>
  <si>
    <t>Sectie D,Sectie A,Sectie A,,,,,,,,</t>
  </si>
  <si>
    <t>Jeugd1,Jeugd1,Jeugd3,,,,,,,,</t>
  </si>
  <si>
    <t>4005</t>
  </si>
  <si>
    <t>Schutterij De Eendracht Wehl</t>
  </si>
  <si>
    <t>Wij zijn uitgenodigd door Sint-Jan om als gastvereniging deel te nemen aan dit concours.</t>
  </si>
  <si>
    <t>2068</t>
  </si>
  <si>
    <t>2069</t>
  </si>
  <si>
    <t>2006</t>
  </si>
  <si>
    <t>Schuttersgilde Claudius Civilis Pannerden</t>
  </si>
  <si>
    <t>2081</t>
  </si>
  <si>
    <t>1011</t>
  </si>
  <si>
    <t>Gilde St. Salvator Mundi Nederasselt</t>
  </si>
  <si>
    <t>aantal deelnemers is niet exact</t>
  </si>
  <si>
    <t>2082</t>
  </si>
  <si>
    <t>1015</t>
  </si>
  <si>
    <t>Gilden van St. Gangulphus en St. Laurentius Huissen</t>
  </si>
  <si>
    <t>2073</t>
  </si>
  <si>
    <t>K.R.K. Schutterij St. Antonius Nieuw-Dijk</t>
  </si>
  <si>
    <t>2085</t>
  </si>
  <si>
    <t>exact aantal deelnemers kan nog wijzigen</t>
  </si>
  <si>
    <t>2084</t>
  </si>
  <si>
    <t>2080</t>
  </si>
  <si>
    <t>2074</t>
  </si>
  <si>
    <t>korps</t>
  </si>
  <si>
    <t>Vaandelafdeling (KNMO: vierde divisie)</t>
  </si>
  <si>
    <t>nog niet bekend</t>
  </si>
  <si>
    <t>2070</t>
  </si>
  <si>
    <t>4022</t>
  </si>
  <si>
    <t>St. Switbertus Lichtenvoorde</t>
  </si>
  <si>
    <t>R.K. Schutter St. Antonius</t>
  </si>
  <si>
    <t>3012</t>
  </si>
  <si>
    <t>St. Antoniusgilde ’s Heerenberg</t>
  </si>
  <si>
    <t>2087</t>
  </si>
  <si>
    <t>4024</t>
  </si>
  <si>
    <t>Schuttersgilde St. Jan Keijenborg</t>
  </si>
  <si>
    <t>2090</t>
  </si>
  <si>
    <t>Tamboerskorps</t>
  </si>
  <si>
    <t>2088</t>
  </si>
  <si>
    <t>3008</t>
  </si>
  <si>
    <t>Schutterij de Eendracht Nieuw-Wehl</t>
  </si>
  <si>
    <t>2093</t>
  </si>
  <si>
    <t>4002</t>
  </si>
  <si>
    <t>Schuttersgilde St. Martinus</t>
  </si>
  <si>
    <t>2097</t>
  </si>
  <si>
    <t>Viva la Vida</t>
  </si>
  <si>
    <t>Animal</t>
  </si>
  <si>
    <t>Groep1,Ensemble1,Team2,Duo1,Duo2,Team1,,,,,</t>
  </si>
  <si>
    <t>Sectie A,Sectie A,Sectie A,Sectie A,Sectie B,Sectie A,,,,,</t>
  </si>
  <si>
    <t>Senior,Jeugd1,Senior,Jeugd1,Senior,Senior,,,,,</t>
  </si>
  <si>
    <t>4012</t>
  </si>
  <si>
    <t>Schuttersvereniging Willem Tell Silvolde</t>
  </si>
  <si>
    <t>2091</t>
  </si>
  <si>
    <t>2015</t>
  </si>
  <si>
    <t>Schuttersvereniging Eensgezindheid Aerdt</t>
  </si>
  <si>
    <t>2100</t>
  </si>
  <si>
    <t>Bij de aspirant vendeliers leeftijd t/m 11 jaar hebben we 3 (drie) deelnemers. Kan er echter maar 2 opgeven?</t>
  </si>
  <si>
    <t>2101</t>
  </si>
  <si>
    <t>2094</t>
  </si>
  <si>
    <t>4014</t>
  </si>
  <si>
    <t>Schutterij De Eendracht</t>
  </si>
  <si>
    <t>De muziekstukken voor de muziekwedstrijden zijn onder voorbehoud. Mogelijk wijzigen deze de komende periode nog.</t>
  </si>
  <si>
    <t>2105</t>
  </si>
  <si>
    <t>Rumba Fiesta</t>
  </si>
  <si>
    <t>Accent Caperiolen</t>
  </si>
  <si>
    <t>2103</t>
  </si>
  <si>
    <t>2104</t>
  </si>
  <si>
    <t>3013</t>
  </si>
  <si>
    <t>St. Johannes Zeddam</t>
  </si>
  <si>
    <t>2116</t>
  </si>
  <si>
    <t>Duo1,Ensemble1,Team1,Ensemble2,Team2,Duo2,,,,,</t>
  </si>
  <si>
    <t>Sectie A,Sectie A,Sectie A,Sectie A,Sectie A,Sectie A,,,,,</t>
  </si>
  <si>
    <t>Senior,Senior,Senior,Junior,Jeugd3,Jeugd3,,,,,</t>
  </si>
  <si>
    <t>1002</t>
  </si>
  <si>
    <t>R.K. Schutterij St. Hubertus Groesbeek</t>
  </si>
  <si>
    <t>2114</t>
  </si>
  <si>
    <t>1013</t>
  </si>
  <si>
    <t>Schuttersgilde St. Bavo Angeren</t>
  </si>
  <si>
    <t>Volledig korps is opgegeven maar deze dag betreft het Koningschieten dus daarom zullen wij als delegatie komen.</t>
  </si>
  <si>
    <t>2110</t>
  </si>
  <si>
    <t>2002</t>
  </si>
  <si>
    <t>Schutterij Onderling Genoegen Duiven</t>
  </si>
  <si>
    <t>2108</t>
  </si>
  <si>
    <t>2117</t>
  </si>
  <si>
    <t>2112</t>
  </si>
  <si>
    <t>2111</t>
  </si>
  <si>
    <t>Drumfanfare St. Bavo Angeren</t>
  </si>
  <si>
    <t>Ere-afdeling (KNMO: derde divisie)</t>
  </si>
  <si>
    <t>Art and Plessure</t>
  </si>
  <si>
    <t>Prager Mädels</t>
  </si>
  <si>
    <t>4016</t>
  </si>
  <si>
    <t>Onze Lieve Vrouwe Gilde Varsselder-Veldhunten</t>
  </si>
  <si>
    <t>Joris Bok (individueel) betreft aspirant.</t>
  </si>
  <si>
    <t>Dit jaar geen deelname van St. Hubertus Groesbeek-De Horst</t>
  </si>
  <si>
    <t>3010</t>
  </si>
  <si>
    <t>Schutterij St. Jan</t>
  </si>
  <si>
    <t>Organiserende schutterij</t>
  </si>
  <si>
    <t>2121</t>
  </si>
  <si>
    <t>Sectie A,Sectie A,,,,,,,,,</t>
  </si>
  <si>
    <t>3007</t>
  </si>
  <si>
    <t>R.K. Schutterij de Heegh Didam</t>
  </si>
  <si>
    <t>2118</t>
  </si>
  <si>
    <t>2119</t>
  </si>
  <si>
    <t>Groep1,Team1,,,,,,,,,</t>
  </si>
  <si>
    <t>Jeugd2,Jeugd3,,,,,,,,,</t>
  </si>
  <si>
    <t>1008</t>
  </si>
  <si>
    <t>Schutterij EMM Kekerdom</t>
  </si>
  <si>
    <t>2130</t>
  </si>
  <si>
    <t>2129</t>
  </si>
  <si>
    <t>2127</t>
  </si>
  <si>
    <t>Groep1,Ensemble1,Ensemble2,Ensemble3,Duo1,Duo2,Duo3,,,,</t>
  </si>
  <si>
    <t>Sectie A,Sectie A,Sectie A,Sectie B,Sectie A,Sectie A,Sectie A,,,,</t>
  </si>
  <si>
    <t>Junior,Junior,Jeugd3,Jeugd1,Junior,Junior,Junior,,,,</t>
  </si>
  <si>
    <t>4009</t>
  </si>
  <si>
    <t>Schuttersvereniging St. Antonius Lengel</t>
  </si>
  <si>
    <t>2126</t>
  </si>
  <si>
    <t>4013</t>
  </si>
  <si>
    <t>Schuttersgilde St. Joris Ulft</t>
  </si>
  <si>
    <t>2124</t>
  </si>
  <si>
    <t>Sempre Fidelis</t>
  </si>
  <si>
    <t>Gibraltar</t>
  </si>
  <si>
    <t>2128</t>
  </si>
  <si>
    <t>2125</t>
  </si>
  <si>
    <t>3004</t>
  </si>
  <si>
    <t>Schutterij St. Isidorus Oud-Dijk</t>
  </si>
  <si>
    <t>2134</t>
  </si>
  <si>
    <t>3001</t>
  </si>
  <si>
    <t>Schutterij St. Martinus Greffelkamp Didam</t>
  </si>
  <si>
    <t>2138</t>
  </si>
  <si>
    <t>Team1,Team2,Ensemble3,Team4,Groep1,,,,,,</t>
  </si>
  <si>
    <t>Jeugd2,Jeugd3,Junior,Senior,Junior,,,,,,</t>
  </si>
  <si>
    <t>2013</t>
  </si>
  <si>
    <t>Schutterij Eendracht Maakt Macht Giesbeek</t>
  </si>
  <si>
    <t>2139</t>
  </si>
  <si>
    <t>2141</t>
  </si>
  <si>
    <t>2140</t>
  </si>
  <si>
    <t>4015</t>
  </si>
  <si>
    <t>Schuttersgilde St. Hubertus Ulft</t>
  </si>
  <si>
    <t>2143</t>
  </si>
  <si>
    <t>n.t.b.</t>
  </si>
  <si>
    <t>2144</t>
  </si>
  <si>
    <t>3011</t>
  </si>
  <si>
    <t>St. Jans Gilde Beek-Loerbeek</t>
  </si>
  <si>
    <t>2146</t>
  </si>
  <si>
    <t>4027</t>
  </si>
  <si>
    <t>Haaksbergsche Schutterij</t>
  </si>
  <si>
    <t>2147</t>
  </si>
  <si>
    <t>2010</t>
  </si>
  <si>
    <t>Gilde St. Remigius Duiven</t>
  </si>
  <si>
    <t>2153</t>
  </si>
  <si>
    <t>2004</t>
  </si>
  <si>
    <t>Schutterij Eendracht Maakt Macht Ooy-Zevenaar</t>
  </si>
  <si>
    <t>Bielemannen graag zo vroeg mogelijk in het programma, voorzover mogelijk natuurlijk :-)</t>
  </si>
  <si>
    <t>2151</t>
  </si>
  <si>
    <t>2152</t>
  </si>
  <si>
    <t>Duo1,Ensemble1,Ensemble2,Ensemble3,Groep1,Duo2,Team2,,,,</t>
  </si>
  <si>
    <t>i.v.m. de logistiek beide korpsen graag zo dicht mogelijk bij elkaar in de planning, alvast bedankt :-)</t>
  </si>
  <si>
    <t>Zowel vendeliers als majorettes willen met een ander korps lopen, aangezien wij geen eigen korps meer hebben.</t>
  </si>
  <si>
    <t>2155</t>
  </si>
  <si>
    <t>Team1,Team2,Duo1,,,,,,,,</t>
  </si>
  <si>
    <t>Jeugd1,Jeugd1,Senior,,,,,,,,</t>
  </si>
  <si>
    <t>2001</t>
  </si>
  <si>
    <t>Schutterij St. Andreas Zevenaar</t>
  </si>
  <si>
    <t>2157</t>
  </si>
  <si>
    <t>2158</t>
  </si>
  <si>
    <t>Zowel de senioren als de junioren hebben de voorkeur voor vendelen in de middag.</t>
  </si>
  <si>
    <t>We zijn met een muziekkorps in onderhandeling of ze met ons mee willen, deze hoeven niet gejureerd te worden</t>
  </si>
  <si>
    <t>1003</t>
  </si>
  <si>
    <t>Schutterij Vriendenkring Leuth</t>
  </si>
  <si>
    <t>2164</t>
  </si>
  <si>
    <t>We krijgen die datum niet de hele vereniging mee, daarom een delegatie van bestuur aangevuld met...We zijn bezig met oprichten van een eigen tamboers korps, mochten we dat tegen die tijd op poten hebben dan komen die wellicht mee.</t>
  </si>
  <si>
    <t>2162</t>
  </si>
  <si>
    <t>2165</t>
  </si>
  <si>
    <t>3006</t>
  </si>
  <si>
    <t>De Eendracht Didam</t>
  </si>
  <si>
    <t>Aantal is minus de muziek. Deze is onder voorbehoud. Ons "Huisorkest" muziekvereniging De Club, laat zo snel mogelijk weten of zij aanwezig zijn.</t>
  </si>
  <si>
    <t>2168</t>
  </si>
  <si>
    <t>3009</t>
  </si>
  <si>
    <t>Hooglandse Schutterij Sint-Martinus Braamt</t>
  </si>
  <si>
    <t>Wij lopen samen met St.Johannes Zeddam</t>
  </si>
  <si>
    <t>2167</t>
  </si>
  <si>
    <t>2005</t>
  </si>
  <si>
    <t>Gilde St. Jan Babberich</t>
  </si>
  <si>
    <t>2172</t>
  </si>
  <si>
    <t>2008</t>
  </si>
  <si>
    <t>Schuttersgilde Excelsior Lobith</t>
  </si>
  <si>
    <t>2171</t>
  </si>
  <si>
    <t>2174</t>
  </si>
  <si>
    <t>Ons Huisorkest Muziekverenigig De Club zal zsm doorgeven  of ze aanwezig zijn. Het aantal zal daarom  kunnen afwijken, Mochten ze meedoen kan het aantal oplopen tot 80-90 personen.</t>
  </si>
  <si>
    <t>2169</t>
  </si>
  <si>
    <t>Bij opgave majorettewedstrijd graag rekening houden met het volgende; Bij Tara Pfeil (duo 2 en solo) rekening houden met haar verstandelijke beperking, ze doet 'normaal' mee in de g-klasse.</t>
  </si>
  <si>
    <t>Wij zullen worden vertegenwoordigd door ons koningspaar ' Koning Ricardo Menting en zijn partner Patty Hoenselaar'. Zij worden die dag vergezeld door onze jeugdkoningin Isabella Janssen (dochter van koningin). We gaan ervanuit dat 3 personen te weinig is om mee te doen met defile en marswedstrijden maar dat is geen probleem. Mocht er nog meer informatie nodig zijn hoor ik het graag. Alvast  fijne dag gewenst, en succes met organisatie.</t>
  </si>
  <si>
    <t>Wij zullen worden vertegenwoordigd door ons koningspaar ' Koning Ricardo Menting en zijn partner Patty Hoenselaar'. Zij worden die dag vergezeld door onze jeugdkoningin Isabella Janssen (dochter van koningin). We gaan ervanuit dat 3 personen te weinig is om mee te doen met defile en marswedstrijden maar dat is geen probleem. Mocht er nog meer informatie nodig zijn hoor ik het graag. Alvast fijne dag gewenst, en succes met organisatie.</t>
  </si>
  <si>
    <t>Ik mis een onderdeel korpsschieten, maar misschien hoef je je daar ter plekke pas voor op te geven. Ik weet dat er bij ons schutters zijn die graag mee schieten, dus bij deze alvast. Hartelijke groet en een Guten Rutsch alvast, uit Beek, Jurgen Thijssen en Anja Putman</t>
  </si>
  <si>
    <t>2011</t>
  </si>
  <si>
    <t>Schutterij Eendracht Maakt Macht Groessen</t>
  </si>
  <si>
    <t>2178</t>
  </si>
  <si>
    <t>2176</t>
  </si>
  <si>
    <t>2003</t>
  </si>
  <si>
    <t>Schuttersvereniging St. Anna</t>
  </si>
  <si>
    <t>2182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</si>
</sst>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2"/>
      <color theme="1"/>
      <name val="Calibri"/>
      <family val="2"/>
      <scheme val="minor"/>
    </font>
    <font>
      <sz val="8"/>
      <name val="Calibri"/>
      <family val="2"/>
      <scheme val="minor"/>
    </font>
    <font>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
      <sz val="12"/>
      <color theme="1"/>
      <name val="Calibri"/>
      <family val="2"/>
      <scheme val="minor"/>
    </font>
    <font>
      <b/>
      <sz val="18"/>
      <color theme="1"/>
      <name val="Calibri"/>
      <family val="2"/>
      <scheme val="minor"/>
    </font>
    <font>
      <b/>
      <sz val="12"/>
      <color theme="1"/>
      <name val="Calibri"/>
      <family val="2"/>
      <scheme val="minor"/>
    </font>
    <font>
      <sz val="12"/>
      <name val="Calibri"/>
      <family val="2"/>
      <scheme val="minor"/>
    </font>
    <font>
      <b/>
      <sz val="12"/>
      <name val="Calibri"/>
      <family val="2"/>
      <scheme val="minor"/>
    </font>
    <font>
      <b/>
      <sz val="14"/>
      <color theme="1"/>
      <name val="Calibri"/>
      <family val="2"/>
      <scheme val="minor"/>
    </font>
    <font>
      <b/>
      <sz val="11"/>
      <color rgb="FF000000"/>
      <name val="Calibri"/>
      <family val="2"/>
      <scheme val="minor"/>
    </font>
    <font>
      <sz val="12"/>
      <color rgb="FF006100"/>
      <name val="Calibri"/>
      <family val="2"/>
      <scheme val="minor"/>
    </font>
    <font>
      <b/>
      <sz val="16"/>
      <color theme="1"/>
      <name val="Calibri"/>
      <family val="2"/>
      <scheme val="minor"/>
    </font>
    <font>
      <b/>
      <sz val="16"/>
      <name val="Calibri"/>
      <family val="2"/>
      <scheme val="minor"/>
    </font>
  </fonts>
  <fills count="4">
    <fill>
      <patternFill patternType="none"/>
    </fill>
    <fill>
      <patternFill patternType="gray125"/>
    </fill>
    <fill>
      <patternFill patternType="solid">
        <fgColor theme="9"/>
        <bgColor indexed="64"/>
      </patternFill>
    </fill>
    <fill>
      <patternFill patternType="solid">
        <fgColor rgb="FFC6EFCE"/>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style="thin">
        <color indexed="64"/>
      </left>
      <right style="thin">
        <color indexed="64"/>
      </right>
      <top/>
      <bottom style="thin">
        <color indexed="64"/>
      </bottom>
      <diagonal/>
    </border>
    <border>
      <left/>
      <right/>
      <top style="thin">
        <color theme="9" tint="0.39997558519241921"/>
      </top>
      <bottom style="thin">
        <color theme="9" tint="0.39997558519241921"/>
      </bottom>
      <diagonal/>
    </border>
  </borders>
  <cellStyleXfs count="3">
    <xf numFmtId="0" fontId="0" fillId="0" borderId="0"/>
    <xf numFmtId="0" fontId="7" fillId="0" borderId="0"/>
    <xf numFmtId="0" fontId="14" fillId="3" borderId="0" applyNumberFormat="0" applyBorder="0" applyAlignment="0" applyProtection="0"/>
  </cellStyleXfs>
  <cellXfs count="127">
    <xf numFmtId="0" fontId="0" fillId="0" borderId="0" xfId="0"/>
    <xf numFmtId="0" fontId="0" fillId="0" borderId="0" xfId="0" applyAlignment="1">
      <alignment horizontal="center"/>
    </xf>
    <xf numFmtId="0" fontId="4" fillId="0" borderId="0" xfId="0" applyFont="1"/>
    <xf numFmtId="0" fontId="4" fillId="0" borderId="0" xfId="0" applyFont="1" applyAlignment="1">
      <alignment horizontal="center" vertical="top" textRotation="90"/>
    </xf>
    <xf numFmtId="0" fontId="4" fillId="0" borderId="0" xfId="0" applyFont="1" applyAlignment="1">
      <alignment horizontal="center"/>
    </xf>
    <xf numFmtId="0" fontId="4" fillId="0" borderId="0" xfId="0" applyFont="1" applyAlignment="1">
      <alignment vertical="top"/>
    </xf>
    <xf numFmtId="0" fontId="0" fillId="0" borderId="14" xfId="0" applyBorder="1"/>
    <xf numFmtId="0" fontId="0" fillId="0" borderId="14" xfId="0" applyBorder="1" applyAlignment="1">
      <alignment horizontal="center"/>
    </xf>
    <xf numFmtId="0" fontId="5" fillId="2" borderId="6" xfId="0" applyFont="1" applyFill="1" applyBorder="1" applyAlignment="1">
      <alignment horizontal="center" vertical="top"/>
    </xf>
    <xf numFmtId="0" fontId="5" fillId="2" borderId="7" xfId="0" applyFont="1" applyFill="1" applyBorder="1" applyAlignment="1">
      <alignment horizontal="center" vertical="top"/>
    </xf>
    <xf numFmtId="0" fontId="5" fillId="2" borderId="11" xfId="0" applyFont="1" applyFill="1" applyBorder="1" applyAlignment="1">
      <alignment horizontal="center" vertical="top"/>
    </xf>
    <xf numFmtId="0" fontId="5" fillId="2" borderId="8" xfId="0" applyFont="1" applyFill="1" applyBorder="1" applyAlignment="1">
      <alignment horizontal="center"/>
    </xf>
    <xf numFmtId="0" fontId="5" fillId="2" borderId="9" xfId="0" applyFont="1" applyFill="1" applyBorder="1" applyAlignment="1">
      <alignment horizontal="center"/>
    </xf>
    <xf numFmtId="0" fontId="5" fillId="2" borderId="10" xfId="0" applyFont="1" applyFill="1" applyBorder="1" applyAlignment="1">
      <alignment horizontal="center"/>
    </xf>
    <xf numFmtId="0" fontId="5" fillId="2" borderId="6" xfId="0" applyFont="1" applyFill="1" applyBorder="1" applyAlignment="1">
      <alignment horizontal="center"/>
    </xf>
    <xf numFmtId="0" fontId="5" fillId="2" borderId="7" xfId="0" applyFont="1" applyFill="1" applyBorder="1" applyAlignment="1">
      <alignment horizontal="center"/>
    </xf>
    <xf numFmtId="0" fontId="5" fillId="2" borderId="11" xfId="0" applyFont="1" applyFill="1" applyBorder="1" applyAlignment="1">
      <alignment horizontal="center"/>
    </xf>
    <xf numFmtId="0" fontId="5" fillId="2" borderId="12" xfId="0" applyFont="1" applyFill="1" applyBorder="1" applyAlignment="1">
      <alignment horizontal="center"/>
    </xf>
    <xf numFmtId="0" fontId="5" fillId="2" borderId="13" xfId="0" applyFont="1" applyFill="1" applyBorder="1" applyAlignment="1">
      <alignment horizontal="center"/>
    </xf>
    <xf numFmtId="0" fontId="5" fillId="0" borderId="14" xfId="0" applyFont="1" applyBorder="1"/>
    <xf numFmtId="0" fontId="5" fillId="0" borderId="14" xfId="0" applyFont="1" applyBorder="1" applyAlignment="1">
      <alignment horizontal="center"/>
    </xf>
    <xf numFmtId="0" fontId="6" fillId="0" borderId="14" xfId="0" applyFont="1" applyBorder="1" applyAlignment="1">
      <alignment horizontal="center"/>
    </xf>
    <xf numFmtId="0" fontId="5" fillId="0" borderId="15" xfId="0" applyFont="1" applyBorder="1" applyAlignment="1">
      <alignment horizontal="center"/>
    </xf>
    <xf numFmtId="0" fontId="5" fillId="0" borderId="0" xfId="0" applyFont="1"/>
    <xf numFmtId="0" fontId="0" fillId="0" borderId="0" xfId="0" applyAlignment="1">
      <alignment horizontal="center" vertical="top"/>
    </xf>
    <xf numFmtId="0" fontId="10" fillId="0" borderId="12" xfId="1" applyFont="1" applyBorder="1"/>
    <xf numFmtId="0" fontId="10" fillId="0" borderId="8" xfId="1" applyFont="1" applyBorder="1"/>
    <xf numFmtId="0" fontId="10" fillId="0" borderId="12" xfId="1" applyFont="1" applyBorder="1" applyAlignment="1">
      <alignment wrapText="1"/>
    </xf>
    <xf numFmtId="0" fontId="10" fillId="0" borderId="0" xfId="1" applyFont="1"/>
    <xf numFmtId="0" fontId="9" fillId="0" borderId="0" xfId="0" applyFont="1" applyAlignment="1">
      <alignment horizontal="center"/>
    </xf>
    <xf numFmtId="0" fontId="11" fillId="2" borderId="1" xfId="0" applyFont="1" applyFill="1" applyBorder="1"/>
    <xf numFmtId="0" fontId="11" fillId="2" borderId="1" xfId="0" applyFont="1" applyFill="1" applyBorder="1" applyAlignment="1">
      <alignment horizontal="center" wrapText="1"/>
    </xf>
    <xf numFmtId="0" fontId="4" fillId="0" borderId="8" xfId="0" applyFont="1" applyBorder="1" applyAlignment="1">
      <alignment vertical="top"/>
    </xf>
    <xf numFmtId="0" fontId="4" fillId="0" borderId="10" xfId="0" applyFont="1" applyBorder="1" applyAlignment="1">
      <alignment vertical="top"/>
    </xf>
    <xf numFmtId="0" fontId="4" fillId="0" borderId="9" xfId="0" applyFont="1" applyBorder="1" applyAlignment="1">
      <alignment horizontal="center" vertical="top" textRotation="90"/>
    </xf>
    <xf numFmtId="0" fontId="4" fillId="0" borderId="10" xfId="0" applyFont="1" applyBorder="1" applyAlignment="1">
      <alignment horizontal="center" vertical="top" textRotation="90"/>
    </xf>
    <xf numFmtId="0" fontId="4" fillId="0" borderId="8" xfId="0" applyFont="1" applyBorder="1" applyAlignment="1">
      <alignment horizontal="center" vertical="top" textRotation="90"/>
    </xf>
    <xf numFmtId="0" fontId="3" fillId="0" borderId="9" xfId="0" applyFont="1" applyBorder="1" applyAlignment="1">
      <alignment horizontal="center" vertical="top" textRotation="90"/>
    </xf>
    <xf numFmtId="0" fontId="3" fillId="0" borderId="10" xfId="0" applyFont="1" applyBorder="1" applyAlignment="1">
      <alignment horizontal="center" vertical="top" textRotation="90"/>
    </xf>
    <xf numFmtId="0" fontId="4" fillId="0" borderId="12" xfId="0" applyFont="1" applyBorder="1" applyAlignment="1">
      <alignment horizontal="center" vertical="top" textRotation="90"/>
    </xf>
    <xf numFmtId="22" fontId="0" fillId="0" borderId="14" xfId="0" applyNumberFormat="1" applyBorder="1"/>
    <xf numFmtId="0" fontId="0" fillId="0" borderId="14" xfId="0" applyBorder="1" applyAlignment="1">
      <alignment wrapText="1"/>
    </xf>
    <xf numFmtId="0" fontId="0" fillId="0" borderId="0" xfId="0" applyAlignment="1">
      <alignment wrapText="1"/>
    </xf>
    <xf numFmtId="0" fontId="5" fillId="2" borderId="7" xfId="0" applyFont="1" applyFill="1" applyBorder="1" applyAlignment="1">
      <alignment horizontal="center" wrapText="1"/>
    </xf>
    <xf numFmtId="0" fontId="0" fillId="0" borderId="0" xfId="0" applyAlignment="1">
      <alignment horizontal="center" wrapText="1"/>
    </xf>
    <xf numFmtId="0" fontId="4" fillId="0" borderId="9" xfId="0" applyFont="1" applyBorder="1" applyAlignment="1">
      <alignment wrapText="1"/>
    </xf>
    <xf numFmtId="0" fontId="5" fillId="0" borderId="16" xfId="0" applyFont="1" applyBorder="1" applyAlignment="1">
      <alignment wrapText="1"/>
    </xf>
    <xf numFmtId="0" fontId="0" fillId="0" borderId="0" xfId="0" applyAlignment="1">
      <alignment horizontal="left"/>
    </xf>
    <xf numFmtId="1" fontId="0" fillId="0" borderId="0" xfId="0" applyNumberFormat="1"/>
    <xf numFmtId="0" fontId="12" fillId="0" borderId="0" xfId="0" applyFont="1" applyAlignment="1">
      <alignment horizontal="center" vertical="center"/>
    </xf>
    <xf numFmtId="0" fontId="12" fillId="0" borderId="0" xfId="0" applyFont="1" applyAlignment="1">
      <alignment horizontal="center"/>
    </xf>
    <xf numFmtId="0" fontId="5" fillId="2" borderId="0" xfId="0" applyFont="1" applyFill="1" applyAlignment="1">
      <alignment horizontal="center" vertical="top"/>
    </xf>
    <xf numFmtId="0" fontId="5" fillId="0" borderId="0" xfId="0" applyFont="1" applyAlignment="1">
      <alignment horizontal="center"/>
    </xf>
    <xf numFmtId="1" fontId="0" fillId="0" borderId="0" xfId="0" applyNumberFormat="1" applyAlignment="1">
      <alignment horizontal="center"/>
    </xf>
    <xf numFmtId="0" fontId="11" fillId="2" borderId="0" xfId="0" applyFont="1" applyFill="1"/>
    <xf numFmtId="0" fontId="0" fillId="0" borderId="0" xfId="0" applyAlignment="1">
      <alignment horizontal="center" vertical="center"/>
    </xf>
    <xf numFmtId="22" fontId="0" fillId="0" borderId="0" xfId="0" applyNumberFormat="1"/>
    <xf numFmtId="0" fontId="10" fillId="0" borderId="1" xfId="1" applyFont="1" applyBorder="1" applyAlignment="1">
      <alignment textRotation="90" wrapText="1"/>
    </xf>
    <xf numFmtId="0" fontId="10" fillId="0" borderId="9" xfId="1" applyFont="1" applyBorder="1" applyAlignment="1">
      <alignment textRotation="90"/>
    </xf>
    <xf numFmtId="0" fontId="10" fillId="0" borderId="1" xfId="1" applyFont="1" applyBorder="1" applyAlignment="1">
      <alignment horizontal="center" textRotation="90" wrapText="1"/>
    </xf>
    <xf numFmtId="0" fontId="4" fillId="0" borderId="1" xfId="0" applyFont="1" applyBorder="1" applyAlignment="1">
      <alignment horizontal="center" textRotation="90" wrapText="1"/>
    </xf>
    <xf numFmtId="0" fontId="5" fillId="2" borderId="11" xfId="0" applyFont="1" applyFill="1" applyBorder="1" applyAlignment="1">
      <alignment horizontal="left"/>
    </xf>
    <xf numFmtId="0" fontId="0" fillId="0" borderId="0" xfId="0" applyAlignment="1">
      <alignment horizontal="right"/>
    </xf>
    <xf numFmtId="0" fontId="0" fillId="0" borderId="0" xfId="0" applyAlignment="1">
      <alignment horizontal="left" wrapText="1"/>
    </xf>
    <xf numFmtId="0" fontId="10" fillId="0" borderId="24" xfId="1" applyFont="1" applyBorder="1" applyAlignment="1">
      <alignment textRotation="90" wrapText="1"/>
    </xf>
    <xf numFmtId="0" fontId="10" fillId="0" borderId="24" xfId="1" applyFont="1" applyBorder="1" applyAlignment="1">
      <alignment textRotation="90"/>
    </xf>
    <xf numFmtId="0" fontId="13" fillId="0" borderId="0" xfId="0" applyFont="1" applyAlignment="1">
      <alignment horizontal="center"/>
    </xf>
    <xf numFmtId="0" fontId="0" fillId="2" borderId="8" xfId="0" applyFill="1" applyBorder="1"/>
    <xf numFmtId="0" fontId="0" fillId="2" borderId="9" xfId="0" applyFill="1" applyBorder="1"/>
    <xf numFmtId="0" fontId="0" fillId="2" borderId="10" xfId="0" applyFill="1" applyBorder="1" applyAlignment="1">
      <alignment horizontal="left"/>
    </xf>
    <xf numFmtId="0" fontId="0" fillId="2" borderId="6" xfId="0" applyFill="1" applyBorder="1"/>
    <xf numFmtId="0" fontId="0" fillId="2" borderId="7" xfId="0" applyFill="1" applyBorder="1"/>
    <xf numFmtId="0" fontId="0" fillId="2" borderId="3" xfId="0" applyFill="1" applyBorder="1" applyAlignment="1">
      <alignment horizontal="center"/>
    </xf>
    <xf numFmtId="0" fontId="1" fillId="2" borderId="0" xfId="2" applyFont="1" applyFill="1" applyAlignment="1">
      <alignment vertical="top"/>
    </xf>
    <xf numFmtId="0" fontId="0" fillId="0" borderId="0" xfId="0" applyAlignment="1">
      <alignment vertical="top"/>
    </xf>
    <xf numFmtId="0" fontId="12" fillId="0" borderId="0" xfId="0" applyFont="1" applyAlignment="1">
      <alignment vertical="center"/>
    </xf>
    <xf numFmtId="0" fontId="12" fillId="0" borderId="0" xfId="0" applyFont="1"/>
    <xf numFmtId="0" fontId="1" fillId="2" borderId="3" xfId="2" applyFont="1" applyFill="1" applyBorder="1" applyAlignment="1">
      <alignment vertical="top" textRotation="90"/>
    </xf>
    <xf numFmtId="0" fontId="1" fillId="2" borderId="5" xfId="2" applyFont="1" applyFill="1" applyBorder="1" applyAlignment="1">
      <alignment vertical="top" textRotation="90"/>
    </xf>
    <xf numFmtId="0" fontId="1" fillId="2" borderId="4" xfId="2" applyFont="1" applyFill="1" applyBorder="1" applyAlignment="1">
      <alignment vertical="top" textRotation="90"/>
    </xf>
    <xf numFmtId="0" fontId="1" fillId="2" borderId="2" xfId="2" applyFont="1" applyFill="1" applyBorder="1" applyAlignment="1">
      <alignment vertical="top" textRotation="90"/>
    </xf>
    <xf numFmtId="0" fontId="9" fillId="2" borderId="3" xfId="2" applyFont="1" applyFill="1" applyBorder="1" applyAlignment="1">
      <alignment vertical="top" textRotation="90"/>
    </xf>
    <xf numFmtId="0" fontId="1" fillId="2" borderId="5" xfId="2" applyFont="1" applyFill="1" applyBorder="1" applyAlignment="1">
      <alignment vertical="top"/>
    </xf>
    <xf numFmtId="0" fontId="10" fillId="0" borderId="10" xfId="1" applyFont="1" applyBorder="1"/>
    <xf numFmtId="22" fontId="0" fillId="0" borderId="0" xfId="0" applyNumberFormat="1" applyAlignment="1">
      <alignment horizontal="center"/>
    </xf>
    <xf numFmtId="0" fontId="4" fillId="0" borderId="0" xfId="0" applyFont="1" applyAlignment="1">
      <alignment wrapText="1"/>
    </xf>
    <xf numFmtId="0" fontId="1" fillId="2" borderId="5" xfId="2" applyFont="1" applyFill="1" applyBorder="1" applyAlignment="1">
      <alignment vertical="top" wrapText="1"/>
    </xf>
    <xf numFmtId="0" fontId="0" fillId="0" borderId="25" xfId="0" applyBorder="1"/>
    <xf numFmtId="0" fontId="5" fillId="0" borderId="0" xfId="0" applyFont="1" applyAlignment="1">
      <alignment horizontal="left"/>
    </xf>
    <xf numFmtId="0" fontId="5" fillId="2" borderId="8" xfId="0" applyFont="1" applyFill="1" applyBorder="1" applyAlignment="1">
      <alignment horizontal="center" vertical="top" wrapText="1"/>
    </xf>
    <xf numFmtId="0" fontId="5" fillId="2" borderId="9" xfId="0" applyFont="1" applyFill="1" applyBorder="1" applyAlignment="1">
      <alignment horizontal="center" vertical="top" wrapText="1"/>
    </xf>
    <xf numFmtId="0" fontId="5" fillId="2" borderId="10" xfId="0" applyFont="1" applyFill="1" applyBorder="1" applyAlignment="1">
      <alignment horizontal="center" vertical="top" wrapText="1"/>
    </xf>
    <xf numFmtId="0" fontId="5" fillId="2" borderId="6" xfId="0" applyFont="1" applyFill="1" applyBorder="1" applyAlignment="1">
      <alignment horizontal="center" vertical="top" wrapText="1"/>
    </xf>
    <xf numFmtId="0" fontId="5" fillId="2" borderId="7" xfId="0" applyFont="1" applyFill="1" applyBorder="1" applyAlignment="1">
      <alignment horizontal="center" vertical="top" wrapText="1"/>
    </xf>
    <xf numFmtId="0" fontId="5" fillId="2" borderId="11" xfId="0" applyFont="1" applyFill="1" applyBorder="1" applyAlignment="1">
      <alignment horizontal="center" vertical="top" wrapText="1"/>
    </xf>
    <xf numFmtId="0" fontId="5" fillId="2" borderId="8" xfId="0" applyFont="1" applyFill="1" applyBorder="1" applyAlignment="1">
      <alignment horizontal="center" vertical="top"/>
    </xf>
    <xf numFmtId="0" fontId="5" fillId="2" borderId="9" xfId="0" applyFont="1" applyFill="1" applyBorder="1" applyAlignment="1">
      <alignment horizontal="center" vertical="top"/>
    </xf>
    <xf numFmtId="0" fontId="5" fillId="2" borderId="10" xfId="0" applyFont="1" applyFill="1" applyBorder="1" applyAlignment="1">
      <alignment horizontal="center" vertical="top"/>
    </xf>
    <xf numFmtId="0" fontId="5" fillId="2" borderId="6" xfId="0" applyFont="1" applyFill="1" applyBorder="1" applyAlignment="1">
      <alignment horizontal="center" vertical="top"/>
    </xf>
    <xf numFmtId="0" fontId="5" fillId="2" borderId="7" xfId="0" applyFont="1" applyFill="1" applyBorder="1" applyAlignment="1">
      <alignment horizontal="center" vertical="top"/>
    </xf>
    <xf numFmtId="0" fontId="5" fillId="2" borderId="11" xfId="0" applyFont="1" applyFill="1" applyBorder="1" applyAlignment="1">
      <alignment horizontal="center" vertical="top"/>
    </xf>
    <xf numFmtId="0" fontId="5" fillId="2" borderId="3" xfId="0" applyFont="1" applyFill="1" applyBorder="1" applyAlignment="1">
      <alignment horizontal="center"/>
    </xf>
    <xf numFmtId="0" fontId="5" fillId="2" borderId="5" xfId="0" applyFont="1" applyFill="1" applyBorder="1" applyAlignment="1">
      <alignment horizontal="center"/>
    </xf>
    <xf numFmtId="0" fontId="5" fillId="2" borderId="4" xfId="0" applyFont="1" applyFill="1" applyBorder="1" applyAlignment="1">
      <alignment horizontal="center"/>
    </xf>
    <xf numFmtId="0" fontId="0" fillId="2" borderId="5" xfId="0" applyFill="1" applyBorder="1" applyAlignment="1">
      <alignment horizontal="center"/>
    </xf>
    <xf numFmtId="0" fontId="0" fillId="2" borderId="4" xfId="0" applyFill="1" applyBorder="1" applyAlignment="1">
      <alignment horizontal="center"/>
    </xf>
    <xf numFmtId="0" fontId="5" fillId="2" borderId="12" xfId="0" applyFont="1" applyFill="1" applyBorder="1" applyAlignment="1">
      <alignment horizontal="center" vertical="top"/>
    </xf>
    <xf numFmtId="0" fontId="5" fillId="2" borderId="13" xfId="0" applyFont="1" applyFill="1" applyBorder="1" applyAlignment="1">
      <alignment horizontal="center" vertical="top"/>
    </xf>
    <xf numFmtId="0" fontId="12" fillId="0" borderId="0" xfId="0" applyFont="1" applyAlignment="1">
      <alignment horizontal="center" vertical="center"/>
    </xf>
    <xf numFmtId="0" fontId="12" fillId="0" borderId="7" xfId="0" applyFont="1" applyBorder="1" applyAlignment="1">
      <alignment horizontal="center"/>
    </xf>
    <xf numFmtId="0" fontId="5" fillId="2" borderId="7" xfId="0" applyFont="1" applyFill="1" applyBorder="1" applyAlignment="1">
      <alignment horizontal="center"/>
    </xf>
    <xf numFmtId="0" fontId="5" fillId="2" borderId="8" xfId="0" applyFont="1" applyFill="1" applyBorder="1" applyAlignment="1">
      <alignment horizontal="center"/>
    </xf>
    <xf numFmtId="0" fontId="5" fillId="2" borderId="9" xfId="0" applyFont="1" applyFill="1" applyBorder="1" applyAlignment="1">
      <alignment horizontal="center"/>
    </xf>
    <xf numFmtId="0" fontId="5" fillId="2" borderId="10" xfId="0" applyFont="1" applyFill="1" applyBorder="1" applyAlignment="1">
      <alignment horizontal="center"/>
    </xf>
    <xf numFmtId="0" fontId="15" fillId="0" borderId="20" xfId="1" applyFont="1" applyBorder="1" applyAlignment="1">
      <alignment horizontal="center" vertical="top"/>
    </xf>
    <xf numFmtId="0" fontId="15" fillId="0" borderId="21" xfId="1" applyFont="1" applyBorder="1" applyAlignment="1">
      <alignment horizontal="center" vertical="top"/>
    </xf>
    <xf numFmtId="0" fontId="15" fillId="0" borderId="22" xfId="1" applyFont="1" applyBorder="1" applyAlignment="1">
      <alignment horizontal="center" vertical="top"/>
    </xf>
    <xf numFmtId="0" fontId="15" fillId="0" borderId="3" xfId="1" applyFont="1" applyBorder="1" applyAlignment="1">
      <alignment horizontal="center" vertical="top" wrapText="1"/>
    </xf>
    <xf numFmtId="0" fontId="15" fillId="0" borderId="5" xfId="1" applyFont="1" applyBorder="1" applyAlignment="1">
      <alignment horizontal="center" vertical="top" wrapText="1"/>
    </xf>
    <xf numFmtId="0" fontId="15" fillId="0" borderId="4" xfId="1" applyFont="1" applyBorder="1" applyAlignment="1">
      <alignment horizontal="center" vertical="top" wrapText="1"/>
    </xf>
    <xf numFmtId="0" fontId="16" fillId="0" borderId="17" xfId="1" applyFont="1" applyBorder="1" applyAlignment="1">
      <alignment horizontal="center" vertical="top" wrapText="1"/>
    </xf>
    <xf numFmtId="0" fontId="16" fillId="0" borderId="18" xfId="1" applyFont="1" applyBorder="1" applyAlignment="1">
      <alignment horizontal="center" vertical="top" wrapText="1"/>
    </xf>
    <xf numFmtId="0" fontId="16" fillId="0" borderId="19" xfId="1" applyFont="1" applyBorder="1" applyAlignment="1">
      <alignment horizontal="center" vertical="top" wrapText="1"/>
    </xf>
    <xf numFmtId="0" fontId="4" fillId="0" borderId="0" xfId="0" applyFont="1" applyAlignment="1">
      <alignment horizontal="center"/>
    </xf>
    <xf numFmtId="0" fontId="4" fillId="0" borderId="23" xfId="0" applyFont="1" applyBorder="1" applyAlignment="1">
      <alignment horizontal="center"/>
    </xf>
    <xf numFmtId="0" fontId="8" fillId="0" borderId="0" xfId="0" applyFont="1" applyAlignment="1">
      <alignment horizontal="center"/>
    </xf>
    <xf numFmtId="0" fontId="9" fillId="0" borderId="0" xfId="0" applyFont="1" applyAlignment="1">
      <alignment horizontal="center"/>
    </xf>
  </cellXfs>
  <cellStyles count="3">
    <cellStyle name="Goed" xfId="2" builtinId="26"/>
    <cellStyle name="Standaard" xfId="0" builtinId="0"/>
    <cellStyle name="Standaard 2" xfId="1" xr:uid="{F19B0B72-0ABE-41BD-B88E-C05ECC626655}"/>
  </cellStyles>
  <dxfs count="435">
    <dxf>
      <numFmt numFmtId="27" formatCode="dd/mm/yyyy\ hh:mm"/>
    </dxf>
    <dxf>
      <numFmt numFmtId="27" formatCode="dd/mm/yyyy\ hh:mm"/>
    </dxf>
    <dxf>
      <numFmt numFmtId="27" formatCode="dd/mm/yyyy\ hh:mm"/>
    </dxf>
    <dxf>
      <numFmt numFmtId="27" formatCode="dd/mm/yyyy\ hh:mm"/>
    </dxf>
    <dxf>
      <numFmt numFmtId="0" formatCode="General"/>
      <alignment horizontal="general" vertical="bottom" textRotation="0" wrapText="1" indent="0" justifyLastLine="0" shrinkToFit="0" readingOrder="0"/>
    </dxf>
    <dxf>
      <fill>
        <patternFill>
          <bgColor rgb="FFFF0000"/>
        </patternFill>
      </fill>
    </dxf>
    <dxf>
      <fill>
        <patternFill>
          <bgColor rgb="FFFF0000"/>
        </patternFill>
      </fill>
    </dxf>
    <dxf>
      <fill>
        <patternFill>
          <bgColor rgb="FFFF0000"/>
        </patternFill>
      </fill>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outline="0">
        <left style="thin">
          <color indexed="64"/>
        </left>
        <right style="thin">
          <color indexed="64"/>
        </right>
        <top/>
        <bottom/>
      </border>
    </dxf>
    <dxf>
      <alignment horizontal="center" vertical="bottom" textRotation="0" wrapText="0" indent="0" justifyLastLine="0" shrinkToFit="0" readingOrder="0"/>
      <border diagonalUp="0" diagonalDown="0" outline="0">
        <left style="thin">
          <color indexed="64"/>
        </left>
        <right style="thin">
          <color indexed="64"/>
        </right>
        <top/>
        <bottom/>
      </border>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outline="0">
        <left style="thin">
          <color indexed="64"/>
        </left>
        <right style="thin">
          <color indexed="64"/>
        </right>
        <top/>
        <bottom/>
      </border>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outline="0">
        <left style="thin">
          <color indexed="64"/>
        </left>
        <right style="thin">
          <color indexed="64"/>
        </right>
        <top/>
        <bottom/>
      </border>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center" textRotation="0" wrapText="0" indent="0" justifyLastLine="0" shrinkToFit="0" readingOrder="0"/>
    </dxf>
    <dxf>
      <alignment horizontal="center" vertical="bottom" textRotation="0" wrapText="0" indent="0" justifyLastLine="0" shrinkToFit="0" readingOrder="0"/>
    </dxf>
    <dxf>
      <alignment horizontal="center" vertical="bottom" textRotation="0" wrapText="1"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numFmt numFmtId="27" formatCode="dd/mm/yyyy\ hh:mm"/>
    </dxf>
    <dxf>
      <numFmt numFmtId="27" formatCode="dd/mm/yyyy\ hh:mm"/>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numFmt numFmtId="27" formatCode="dd/mm/yyyy\ hh:mm"/>
    </dxf>
    <dxf>
      <numFmt numFmtId="27" formatCode="dd/mm/yyyy\ hh:mm"/>
      <alignment horizontal="center" vertical="bottom" textRotation="0" wrapText="0" indent="0" justifyLastLine="0" shrinkToFit="0" readingOrder="0"/>
    </dxf>
    <dxf>
      <alignment horizontal="center" vertical="bottom" textRotation="0" wrapText="0" indent="0" justifyLastLine="0" shrinkToFit="0" readingOrder="0"/>
    </dxf>
    <dxf>
      <alignment horizontal="left" vertical="bottom" textRotation="0" wrapText="1"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outline="0">
        <left style="thin">
          <color indexed="64"/>
        </left>
        <right style="thin">
          <color indexed="64"/>
        </right>
        <top/>
        <bottom/>
      </border>
    </dxf>
    <dxf>
      <alignment horizontal="center" vertical="bottom" textRotation="0" wrapText="0" indent="0" justifyLastLine="0" shrinkToFit="0" readingOrder="0"/>
      <border diagonalUp="0" diagonalDown="0" outline="0">
        <left style="thin">
          <color indexed="64"/>
        </left>
        <right style="thin">
          <color indexed="64"/>
        </right>
        <top/>
        <bottom/>
      </border>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outline="0">
        <left style="thin">
          <color indexed="64"/>
        </left>
        <right style="thin">
          <color indexed="64"/>
        </right>
        <top/>
        <bottom/>
      </border>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outline="0">
        <left style="thin">
          <color indexed="64"/>
        </left>
        <right style="thin">
          <color indexed="64"/>
        </right>
        <top/>
        <bottom/>
      </border>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center" textRotation="0" wrapText="0" indent="0" justifyLastLine="0" shrinkToFit="0" readingOrder="0"/>
    </dxf>
    <dxf>
      <alignment horizontal="center" vertical="bottom" textRotation="0" wrapText="0" indent="0" justifyLastLine="0" shrinkToFit="0" readingOrder="0"/>
    </dxf>
    <dxf>
      <alignment horizontal="center" vertical="bottom" textRotation="0" wrapText="1"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numFmt numFmtId="27" formatCode="dd/mm/yyyy\ hh:mm"/>
    </dxf>
    <dxf>
      <numFmt numFmtId="27" formatCode="dd/mm/yyyy\ hh:mm"/>
    </dxf>
    <dxf>
      <numFmt numFmtId="0" formatCode="General"/>
      <alignment horizontal="general" vertical="bottom" textRotation="0" wrapText="1"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outline="0">
        <left style="thin">
          <color indexed="64"/>
        </left>
        <right style="thin">
          <color indexed="64"/>
        </right>
        <top/>
        <bottom/>
      </border>
    </dxf>
    <dxf>
      <alignment horizontal="center" vertical="bottom" textRotation="0" wrapText="0" indent="0" justifyLastLine="0" shrinkToFit="0" readingOrder="0"/>
      <border diagonalUp="0" diagonalDown="0" outline="0">
        <left style="thin">
          <color indexed="64"/>
        </left>
        <right style="thin">
          <color indexed="64"/>
        </right>
        <top/>
        <bottom/>
      </border>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outline="0">
        <left style="thin">
          <color indexed="64"/>
        </left>
        <right style="thin">
          <color indexed="64"/>
        </right>
        <top/>
        <bottom/>
      </border>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outline="0">
        <left style="thin">
          <color indexed="64"/>
        </left>
        <right style="thin">
          <color indexed="64"/>
        </right>
        <top/>
        <bottom/>
      </border>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center" textRotation="0" wrapText="0" indent="0" justifyLastLine="0" shrinkToFit="0" readingOrder="0"/>
    </dxf>
    <dxf>
      <alignment horizontal="center" vertical="bottom" textRotation="0" wrapText="0" indent="0" justifyLastLine="0" shrinkToFit="0" readingOrder="0"/>
    </dxf>
    <dxf>
      <alignment horizontal="center" vertical="bottom" textRotation="0" wrapText="1"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numFmt numFmtId="27" formatCode="dd/mm/yyyy\ hh:mm"/>
    </dxf>
    <dxf>
      <numFmt numFmtId="27" formatCode="dd/mm/yyyy\ hh:mm"/>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outline="0">
        <left style="thin">
          <color indexed="64"/>
        </left>
        <right style="thin">
          <color indexed="64"/>
        </right>
        <top/>
        <bottom/>
      </border>
    </dxf>
    <dxf>
      <alignment horizontal="center" vertical="bottom" textRotation="0" wrapText="0" indent="0" justifyLastLine="0" shrinkToFit="0" readingOrder="0"/>
      <border diagonalUp="0" diagonalDown="0" outline="0">
        <left style="thin">
          <color indexed="64"/>
        </left>
        <right style="thin">
          <color indexed="64"/>
        </right>
        <top/>
        <bottom/>
      </border>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outline="0">
        <left style="thin">
          <color indexed="64"/>
        </left>
        <right style="thin">
          <color indexed="64"/>
        </right>
        <top/>
        <bottom/>
      </border>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outline="0">
        <left style="thin">
          <color indexed="64"/>
        </left>
        <right style="thin">
          <color indexed="64"/>
        </right>
        <top/>
        <bottom/>
      </border>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center" textRotation="0" wrapText="0" indent="0" justifyLastLine="0" shrinkToFit="0" readingOrder="0"/>
    </dxf>
    <dxf>
      <alignment horizontal="center" vertical="bottom" textRotation="0" wrapText="0" indent="0" justifyLastLine="0" shrinkToFit="0" readingOrder="0"/>
    </dxf>
    <dxf>
      <alignment horizontal="center" vertical="bottom" textRotation="0" wrapText="1"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numFmt numFmtId="27" formatCode="dd/mm/yyyy\ hh:mm"/>
    </dxf>
    <dxf>
      <numFmt numFmtId="27" formatCode="dd/mm/yyyy\ hh:mm"/>
    </dxf>
    <dxf>
      <alignment horizontal="general" vertical="bottom" textRotation="0" wrapText="1"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outline="0">
        <left style="thin">
          <color indexed="64"/>
        </left>
        <right style="thin">
          <color indexed="64"/>
        </right>
        <top/>
        <bottom/>
      </border>
    </dxf>
    <dxf>
      <alignment horizontal="center" vertical="bottom" textRotation="0" wrapText="0" indent="0" justifyLastLine="0" shrinkToFit="0" readingOrder="0"/>
      <border diagonalUp="0" diagonalDown="0" outline="0">
        <left style="thin">
          <color indexed="64"/>
        </left>
        <right style="thin">
          <color indexed="64"/>
        </right>
        <top/>
        <bottom/>
      </border>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outline="0">
        <left style="thin">
          <color indexed="64"/>
        </left>
        <right style="thin">
          <color indexed="64"/>
        </right>
        <top/>
        <bottom/>
      </border>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outline="0">
        <left style="thin">
          <color indexed="64"/>
        </left>
        <right style="thin">
          <color indexed="64"/>
        </right>
        <top/>
        <bottom/>
      </border>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center" textRotation="0" wrapText="0" indent="0" justifyLastLine="0" shrinkToFit="0" readingOrder="0"/>
    </dxf>
    <dxf>
      <alignment horizontal="center" vertical="bottom" textRotation="0" wrapText="0" indent="0" justifyLastLine="0" shrinkToFit="0" readingOrder="0"/>
    </dxf>
    <dxf>
      <alignment horizontal="center" vertical="bottom" textRotation="0" wrapText="1"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numFmt numFmtId="27" formatCode="dd/mm/yyyy\ hh:mm"/>
    </dxf>
    <dxf>
      <numFmt numFmtId="27" formatCode="dd/mm/yyyy\ hh:mm"/>
    </dxf>
    <dxf>
      <alignment horizontal="general" vertical="bottom" textRotation="0" wrapText="1" indent="0" justifyLastLine="0" shrinkToFit="0" readingOrder="0"/>
    </dxf>
    <dxf>
      <alignment horizontal="center" vertical="bottom" textRotation="0" wrapText="0" indent="0" justifyLastLine="0" shrinkToFit="0" readingOrder="0"/>
      <border diagonalUp="0" diagonalDown="0" outline="0">
        <left style="thin">
          <color indexed="64"/>
        </left>
        <right style="thin">
          <color indexed="64"/>
        </right>
        <top/>
        <bottom/>
      </border>
    </dxf>
    <dxf>
      <alignment horizontal="center" vertical="bottom" textRotation="0" wrapText="0" indent="0" justifyLastLine="0" shrinkToFit="0" readingOrder="0"/>
      <border diagonalUp="0" diagonalDown="0" outline="0">
        <left style="thin">
          <color indexed="64"/>
        </left>
        <right style="thin">
          <color indexed="64"/>
        </right>
        <top/>
        <bottom/>
      </border>
    </dxf>
    <dxf>
      <alignment horizontal="center" vertical="bottom" textRotation="0" wrapText="0" indent="0" justifyLastLine="0" shrinkToFit="0" readingOrder="0"/>
      <border diagonalUp="0" diagonalDown="0" outline="0">
        <left style="thin">
          <color indexed="64"/>
        </left>
        <right style="thin">
          <color indexed="64"/>
        </right>
        <top/>
        <bottom/>
      </border>
    </dxf>
    <dxf>
      <alignment horizontal="center" vertical="bottom" textRotation="0" wrapText="0" indent="0" justifyLastLine="0" shrinkToFit="0" readingOrder="0"/>
      <border diagonalUp="0" diagonalDown="0" outline="0">
        <left style="thin">
          <color indexed="64"/>
        </left>
        <right style="thin">
          <color indexed="64"/>
        </right>
        <top/>
        <bottom/>
      </border>
    </dxf>
    <dxf>
      <alignment horizontal="center" vertical="bottom" textRotation="0" wrapText="0" indent="0" justifyLastLine="0" shrinkToFit="0" readingOrder="0"/>
      <border diagonalUp="0" diagonalDown="0" outline="0">
        <left style="thin">
          <color indexed="64"/>
        </left>
        <right style="thin">
          <color indexed="64"/>
        </right>
        <top/>
        <bottom/>
      </border>
    </dxf>
    <dxf>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font>
        <b val="0"/>
        <i val="0"/>
        <strike val="0"/>
        <condense val="0"/>
        <extend val="0"/>
        <outline val="0"/>
        <shadow val="0"/>
        <u val="none"/>
        <vertAlign val="baseline"/>
        <sz val="12"/>
        <color auto="1"/>
        <name val="Calibri"/>
        <family val="2"/>
        <scheme val="minor"/>
      </font>
      <alignment horizontal="general" vertical="bottom" textRotation="90" wrapText="0" indent="0" justifyLastLine="0" shrinkToFit="0" readingOrder="0"/>
    </dxf>
    <dxf>
      <numFmt numFmtId="0" formatCode="General"/>
    </dxf>
    <dxf>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9"/>
        </patternFill>
      </fill>
      <alignment horizontal="general" vertical="top" textRotation="90" wrapText="0" indent="0" justifyLastLine="0" shrinkToFit="0" readingOrder="0"/>
    </dxf>
    <dxf>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numFmt numFmtId="0" formatCode="General"/>
      <alignment horizontal="center" vertical="bottom" textRotation="0" wrapText="0" indent="0" justifyLastLine="0" shrinkToFit="0" readingOrder="0"/>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numFmt numFmtId="27" formatCode="dd/mm/yyyy\ hh:mm"/>
    </dxf>
    <dxf>
      <numFmt numFmtId="27" formatCode="dd/mm/yyyy\ hh:mm"/>
      <border diagonalUp="0" diagonalDown="0">
        <left style="thin">
          <color indexed="64"/>
        </left>
        <right style="thin">
          <color indexed="64"/>
        </right>
        <top/>
        <bottom/>
        <vertical/>
        <horizontal/>
      </border>
    </dxf>
    <dxf>
      <numFmt numFmtId="0" formatCode="General"/>
      <border diagonalUp="0" diagonalDown="0">
        <left style="thin">
          <color indexed="64"/>
        </left>
        <right style="thin">
          <color indexed="64"/>
        </right>
        <top/>
        <bottom/>
        <vertical/>
        <horizontal/>
      </border>
    </dxf>
    <dxf>
      <alignment horizontal="general" vertical="bottom" textRotation="0" wrapText="1" indent="0" justifyLastLine="0" shrinkToFit="0" readingOrder="0"/>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numFmt numFmtId="0" formatCode="General"/>
    </dxf>
    <dxf>
      <alignment horizontal="center" vertical="bottom" textRotation="0" wrapText="0" indent="0" justifyLastLine="0" shrinkToFit="0" readingOrder="0"/>
      <border diagonalUp="0" diagonalDown="0">
        <left style="thin">
          <color indexed="64"/>
        </left>
        <right style="thin">
          <color indexed="64"/>
        </right>
        <top/>
        <bottom/>
        <vertical/>
        <horizontal/>
      </border>
    </dxf>
    <dxf>
      <alignment horizontal="center" vertical="bottom" textRotation="0" wrapText="0" indent="0" justifyLastLine="0" shrinkToFit="0" readingOrder="0"/>
      <border diagonalUp="0" diagonalDown="0">
        <left style="thin">
          <color indexed="64"/>
        </left>
        <right style="thin">
          <color indexed="64"/>
        </right>
        <top/>
        <bottom/>
        <vertical/>
        <horizontal/>
      </border>
    </dxf>
    <dxf>
      <alignment horizontal="center" vertical="bottom" textRotation="0" wrapText="0" indent="0" justifyLastLine="0" shrinkToFit="0" readingOrder="0"/>
      <border diagonalUp="0" diagonalDown="0">
        <left style="thin">
          <color indexed="64"/>
        </left>
        <right style="thin">
          <color indexed="64"/>
        </right>
        <top/>
        <bottom/>
        <vertical/>
        <horizontal/>
      </border>
    </dxf>
    <dxf>
      <alignment horizontal="center" vertical="bottom" textRotation="0" wrapText="0" indent="0" justifyLastLine="0" shrinkToFit="0" readingOrder="0"/>
      <border diagonalUp="0" diagonalDown="0">
        <left style="thin">
          <color indexed="64"/>
        </left>
        <right style="thin">
          <color indexed="64"/>
        </right>
        <top/>
        <bottom/>
        <vertical/>
        <horizontal/>
      </border>
    </dxf>
    <dxf>
      <alignment horizontal="center" vertical="bottom" textRotation="0" wrapText="0" indent="0" justifyLastLine="0" shrinkToFit="0" readingOrder="0"/>
      <border diagonalUp="0" diagonalDown="0">
        <left style="thin">
          <color indexed="64"/>
        </left>
        <right style="thin">
          <color indexed="64"/>
        </right>
        <top/>
        <bottom/>
        <vertical/>
        <horizontal/>
      </border>
    </dxf>
    <dxf>
      <alignment horizontal="center" vertical="bottom" textRotation="0" wrapText="0" indent="0" justifyLastLine="0" shrinkToFit="0" readingOrder="0"/>
      <border diagonalUp="0" diagonalDown="0">
        <left style="thin">
          <color indexed="64"/>
        </left>
        <right style="thin">
          <color indexed="64"/>
        </right>
        <top/>
        <bottom/>
        <vertical/>
        <horizontal/>
      </border>
    </dxf>
    <dxf>
      <alignment horizontal="center" vertical="bottom" textRotation="0" wrapText="0" indent="0" justifyLastLine="0" shrinkToFit="0" readingOrder="0"/>
      <border diagonalUp="0" diagonalDown="0">
        <left style="thin">
          <color indexed="64"/>
        </left>
        <right style="thin">
          <color indexed="64"/>
        </right>
        <top/>
        <bottom/>
        <vertical/>
        <horizontal/>
      </border>
    </dxf>
    <dxf>
      <alignment horizontal="center" vertical="bottom" textRotation="0" wrapText="0" indent="0" justifyLastLine="0" shrinkToFit="0" readingOrder="0"/>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alignment horizontal="center" vertical="bottom" textRotation="0" wrapText="0" indent="0" justifyLastLine="0" shrinkToFit="0" readingOrder="0"/>
      <border diagonalUp="0" diagonalDown="0">
        <left style="thin">
          <color indexed="64"/>
        </left>
        <right style="thin">
          <color indexed="64"/>
        </right>
        <top/>
        <bottom/>
        <vertical/>
        <horizontal/>
      </border>
    </dxf>
    <dxf>
      <alignment horizontal="center" vertical="bottom" textRotation="0" wrapText="0" indent="0" justifyLastLine="0" shrinkToFit="0" readingOrder="0"/>
      <border diagonalUp="0" diagonalDown="0">
        <left style="thin">
          <color indexed="64"/>
        </left>
        <right style="thin">
          <color indexed="64"/>
        </right>
        <top/>
        <bottom/>
        <vertical/>
        <horizontal/>
      </border>
    </dxf>
    <dxf>
      <alignment horizontal="center" vertical="bottom" textRotation="0" wrapText="0" indent="0" justifyLastLine="0" shrinkToFit="0" readingOrder="0"/>
      <border diagonalUp="0" diagonalDown="0">
        <left style="thin">
          <color indexed="64"/>
        </left>
        <right style="thin">
          <color indexed="64"/>
        </right>
        <top/>
        <bottom/>
        <vertical/>
        <horizontal/>
      </border>
    </dxf>
    <dxf>
      <alignment horizontal="center" vertical="bottom" textRotation="0" wrapText="0" indent="0" justifyLastLine="0" shrinkToFit="0" readingOrder="0"/>
      <border diagonalUp="0" diagonalDown="0">
        <left style="thin">
          <color indexed="64"/>
        </left>
        <right style="thin">
          <color indexed="64"/>
        </right>
        <top/>
        <bottom/>
        <vertical/>
        <horizontal/>
      </border>
    </dxf>
    <dxf>
      <alignment horizontal="center" vertical="bottom" textRotation="0" wrapText="0" indent="0" justifyLastLine="0" shrinkToFit="0" readingOrder="0"/>
      <border diagonalUp="0" diagonalDown="0">
        <left style="thin">
          <color indexed="64"/>
        </left>
        <right style="thin">
          <color indexed="64"/>
        </right>
        <top/>
        <bottom/>
        <vertical/>
        <horizontal/>
      </border>
    </dxf>
    <dxf>
      <alignment horizontal="center" vertical="bottom" textRotation="0" wrapText="0" indent="0" justifyLastLine="0" shrinkToFit="0" readingOrder="0"/>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numFmt numFmtId="0" formatCode="General"/>
      <border diagonalUp="0" diagonalDown="0">
        <left style="thin">
          <color indexed="64"/>
        </left>
        <right style="thin">
          <color indexed="64"/>
        </right>
        <top/>
        <bottom/>
        <vertical/>
        <horizontal/>
      </border>
    </dxf>
    <dxf>
      <numFmt numFmtId="0" formatCode="General"/>
      <border diagonalUp="0" diagonalDown="0">
        <left style="thin">
          <color indexed="64"/>
        </left>
        <right style="thin">
          <color indexed="64"/>
        </right>
        <top/>
        <bottom/>
        <vertical/>
        <horizontal/>
      </border>
    </dxf>
    <dxf>
      <numFmt numFmtId="0" formatCode="General"/>
      <border diagonalUp="0" diagonalDown="0">
        <left style="thin">
          <color indexed="64"/>
        </left>
        <right style="thin">
          <color indexed="64"/>
        </right>
        <top/>
        <bottom/>
        <vertical/>
        <horizontal/>
      </border>
    </dxf>
    <dxf>
      <numFmt numFmtId="0" formatCode="General"/>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numFmt numFmtId="0" formatCode="General"/>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auto="1"/>
        <name val="Calibri"/>
        <family val="2"/>
        <scheme val="minor"/>
      </font>
      <alignment horizontal="center" vertical="top" textRotation="90" wrapText="0" indent="0" justifyLastLine="0" shrinkToFit="0" readingOrder="0"/>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9"/>
        </patternFill>
      </fill>
      <alignment horizontal="general" vertical="top" textRotation="9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9"/>
        </patternFill>
      </fill>
      <alignment horizontal="general" vertical="top" textRotation="90" wrapText="0" indent="0" justifyLastLine="0" shrinkToFit="0" readingOrder="0"/>
    </dxf>
    <dxf>
      <font>
        <strike val="0"/>
        <outline val="0"/>
        <shadow val="0"/>
        <u val="none"/>
        <vertAlign val="baseline"/>
        <sz val="12"/>
        <color theme="1"/>
        <name val="Calibri"/>
        <family val="2"/>
        <scheme val="minor"/>
      </font>
      <fill>
        <patternFill patternType="solid">
          <fgColor indexed="64"/>
          <bgColor theme="9"/>
        </patternFill>
      </fill>
      <alignment vertical="top" wrapText="0" indent="0" justifyLastLine="0" shrinkToFit="0" readingOrder="0"/>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font>
        <b val="0"/>
        <i val="0"/>
        <strike val="0"/>
        <condense val="0"/>
        <extend val="0"/>
        <outline val="0"/>
        <shadow val="0"/>
        <u val="none"/>
        <vertAlign val="baseline"/>
        <sz val="12"/>
        <color theme="1"/>
        <name val="Calibri"/>
        <family val="2"/>
        <scheme val="minor"/>
      </font>
      <fill>
        <patternFill patternType="solid">
          <fgColor indexed="64"/>
          <bgColor theme="9"/>
        </patternFill>
      </fill>
      <alignment horizontal="general" vertical="top" textRotation="9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3" connectionId="10" xr16:uid="{D2447BD1-51F2-1B43-8175-D62C785DE012}" autoFormatId="16" applyNumberFormats="0" applyBorderFormats="0" applyFontFormats="0" applyPatternFormats="0" applyAlignmentFormats="0" applyWidthHeightFormats="0">
  <queryTableRefresh nextId="54">
    <queryTableFields count="53">
      <queryTableField id="1" name="Kringdag" tableColumnId="1"/>
      <queryTableField id="2" name="Ver.nr." tableColumnId="2"/>
      <queryTableField id="3" name="Naam vereniging" tableColumnId="3"/>
      <queryTableField id="4" name="Delegatie" tableColumnId="4"/>
      <queryTableField id="5" name="Muziekkorps tijdens mars en defilé" tableColumnId="5"/>
      <queryTableField id="6" name="Deelname jeugdkoningschieten" tableColumnId="6"/>
      <queryTableField id="7" name="Maj. Senioren jureren bij mars" tableColumnId="7"/>
      <queryTableField id="8" name="Maj. Jeugd jureren bij mars" tableColumnId="8"/>
      <queryTableField id="9" name="Korps senioren" tableColumnId="9"/>
      <queryTableField id="10" name="Junioren korps 1" tableColumnId="10"/>
      <queryTableField id="11" name="Junioren korps 2" tableColumnId="11"/>
      <queryTableField id="12" name="Aspiranten korps 1" tableColumnId="12"/>
      <queryTableField id="13" name="Aspiranten korps 2" tableColumnId="13"/>
      <queryTableField id="14" name="Acrobatisch senioren" tableColumnId="14"/>
      <queryTableField id="15" name="Acrobatisch junioren" tableColumnId="15"/>
      <queryTableField id="16" name="Acrobatisch aspiranten" tableColumnId="16"/>
      <queryTableField id="17" name="Opgeven vendeliers ind." tableColumnId="17"/>
      <queryTableField id="18" name="Acrob. senioren indiv." tableColumnId="18"/>
      <queryTableField id="19" name="Acrob. junioren indiv." tableColumnId="19"/>
      <queryTableField id="20" name="Acrob. aspiranten indiv." tableColumnId="20"/>
      <queryTableField id="21" name="Deelname hoofdkorps" tableColumnId="21"/>
      <queryTableField id="22" name="Groepen, teams, ensembles en duo's" tableColumnId="22"/>
      <queryTableField id="23" name="Aantal opgegeven majorettes" tableColumnId="23"/>
      <queryTableField id="24" name="Opgeven bielemannen" tableColumnId="24"/>
      <queryTableField id="25" name="Senioren" tableColumnId="25"/>
      <queryTableField id="26" name="Jong Volwassene" tableColumnId="26"/>
      <queryTableField id="27" name="Junioren" tableColumnId="27"/>
      <queryTableField id="28" name="Aspiranten" tableColumnId="28"/>
      <queryTableField id="29" name="Deelname marketentsters" tableColumnId="29"/>
      <queryTableField id="30" name="Aantal luchtgeweerschutters" tableColumnId="30"/>
      <queryTableField id="31" name="Aantal luchtpistoolschutters" tableColumnId="31"/>
      <queryTableField id="32" name="Aantal handboogschutters" tableColumnId="32"/>
      <queryTableField id="33" name="Aantal kruisboogschutters" tableColumnId="33"/>
      <queryTableField id="34" name="(Aantal jeugdkorpsen" tableColumnId="34"/>
      <queryTableField id="35" name="Totaal aantal deelnemers" tableColumnId="35"/>
      <queryTableField id="36" name="Waarvan aantal jeugd (t/m 15 jaar)" tableColumnId="36"/>
      <queryTableField id="37" name="Kanon etc." tableColumnId="37"/>
      <queryTableField id="38" name="Paarden en/of koetsen" tableColumnId="38"/>
      <queryTableField id="39" name="Toelichting/opmerkingen" tableColumnId="39"/>
      <queryTableField id="40" name="Inzending-ID" tableColumnId="40"/>
      <queryTableField id="41" name="Inzenddatum" tableColumnId="41"/>
      <queryTableField id="42" name="Date Updated" tableColumnId="42"/>
      <queryTableField id="43" name="Naam van het hoofdkorps" tableColumnId="43"/>
      <queryTableField id="44" name="Zal op treden als (hoofdkorps)" tableColumnId="44"/>
      <queryTableField id="45" name="Vorm van twee muziekwerken (hoofdkorps)" tableColumnId="45"/>
      <queryTableField id="46" name="Zal uitkomen in de: (hoofdkorps)" tableColumnId="46"/>
      <queryTableField id="47" name="Muziekwerk1 (hoofdkorps)" tableColumnId="47"/>
      <queryTableField id="48" name="Muziekwerk2 (hoofdkorps)" tableColumnId="48"/>
      <queryTableField id="49" name="Korps bestaat uit ... deelnemers (hoofdkorps)" tableColumnId="49"/>
      <queryTableField id="50" name="Wordt er gebruik gemaakt van mechanische muziek?" tableColumnId="50"/>
      <queryTableField id="51" name="Onderdelen" tableColumnId="51"/>
      <queryTableField id="52" name="Secties" tableColumnId="52"/>
      <queryTableField id="53" name="Leeftijdscategorie" tableColumnId="53"/>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2" connectionId="8" xr16:uid="{B69A361A-EE75-9F46-89D0-AF4ECF720A1C}" autoFormatId="16" applyNumberFormats="0" applyBorderFormats="0" applyFontFormats="0" applyPatternFormats="0" applyAlignmentFormats="0" applyWidthHeightFormats="0">
  <queryTableRefresh nextId="1106">
    <queryTableFields count="53">
      <queryTableField id="5" name="Kringdag" tableColumnId="5"/>
      <queryTableField id="1004" name="Ver.nr." tableColumnId="30"/>
      <queryTableField id="27" name="Naam vereniging" tableColumnId="27"/>
      <queryTableField id="958" name="Delegatie" tableColumnId="23"/>
      <queryTableField id="31" name="Muziekkorps tijdens mars en defilé" tableColumnId="31"/>
      <queryTableField id="33" name="Deelname jeugdkoningschieten" tableColumnId="33"/>
      <queryTableField id="924" name="Maj. Senioren jureren bij mars" tableColumnId="4"/>
      <queryTableField id="925" name="Maj. Jeugd jureren bij mars" tableColumnId="7"/>
      <queryTableField id="926" name="Korps senioren" tableColumnId="8"/>
      <queryTableField id="927" name="Junioren korps 1" tableColumnId="9"/>
      <queryTableField id="928" name="Junioren korps 2" tableColumnId="10"/>
      <queryTableField id="929" name="Aspiranten korps 1" tableColumnId="11"/>
      <queryTableField id="930" name="Aspiranten korps 2" tableColumnId="12"/>
      <queryTableField id="931" name="Acrobatisch senioren" tableColumnId="13"/>
      <queryTableField id="932" name="Acrobatisch junioren" tableColumnId="14"/>
      <queryTableField id="933" name="Acrobatisch aspiranten" tableColumnId="15"/>
      <queryTableField id="934" name="Opgeven vendeliers ind." tableColumnId="16"/>
      <queryTableField id="607" name="Acrob. senioren indiv." tableColumnId="607"/>
      <queryTableField id="608" name="Acrob. junioren indiv." tableColumnId="608"/>
      <queryTableField id="609" name="Acrob. aspiranten indiv." tableColumnId="609"/>
      <queryTableField id="145" name="Deelname hoofdkorps" tableColumnId="145"/>
      <queryTableField id="936" name="Groepen, teams, ensembles en duo's" tableColumnId="18"/>
      <queryTableField id="959" name="Aantal opgegeven majorettes" tableColumnId="24"/>
      <queryTableField id="935" name="Opgeven bielemannen" tableColumnId="17"/>
      <queryTableField id="670" name="Senioren" tableColumnId="670"/>
      <queryTableField id="671" name="Jong Volwassene" tableColumnId="671"/>
      <queryTableField id="672" name="Junioren" tableColumnId="672"/>
      <queryTableField id="673" name="Aspiranten" tableColumnId="673"/>
      <queryTableField id="41" name="Deelname marketentsters" tableColumnId="41"/>
      <queryTableField id="518" name="Aantal luchtgeweerschutters" tableColumnId="518"/>
      <queryTableField id="519" name="Aantal luchtpistoolschutters" tableColumnId="519"/>
      <queryTableField id="520" name="Aantal handboogschutters" tableColumnId="520"/>
      <queryTableField id="521" name="Aantal kruisboogschutters" tableColumnId="521"/>
      <queryTableField id="960" name="(Aantal jeugdkorpsen" tableColumnId="25"/>
      <queryTableField id="559" name="Totaal aantal deelnemers" tableColumnId="559"/>
      <queryTableField id="560" name="Waarvan aantal jeugd (t/m 15 jaar)" tableColumnId="560"/>
      <queryTableField id="961" name="Kanon etc." tableColumnId="28"/>
      <queryTableField id="962" name="Paarden en/of koetsen" tableColumnId="29"/>
      <queryTableField id="563" name="Toelichting/opmerkingen" tableColumnId="563"/>
      <queryTableField id="1" name="Inzending-ID" tableColumnId="1"/>
      <queryTableField id="2" name="Inzenddatum" tableColumnId="2"/>
      <queryTableField id="3" name="Date Updated" tableColumnId="3"/>
      <queryTableField id="147" name="Naam van het hoofdkorps" tableColumnId="147"/>
      <queryTableField id="148" name="Zal op treden als (hoofdkorps)" tableColumnId="148"/>
      <queryTableField id="149" name="Vorm van twee muziekwerken (hoofdkorps)" tableColumnId="149"/>
      <queryTableField id="150" name="Zal uitkomen in de: (hoofdkorps)" tableColumnId="150"/>
      <queryTableField id="151" name="Muziekwerk1 (hoofdkorps)" tableColumnId="151"/>
      <queryTableField id="152" name="Muziekwerk2 (hoofdkorps)" tableColumnId="152"/>
      <queryTableField id="153" name="Korps bestaat uit ... deelnemers (hoofdkorps)" tableColumnId="153"/>
      <queryTableField id="326" name="Wordt er gebruik gemaakt van mechanische muziek?" tableColumnId="326"/>
      <queryTableField id="937" name="Onderdelen" tableColumnId="19"/>
      <queryTableField id="938" name="Secties" tableColumnId="20"/>
      <queryTableField id="939" name="Leeftijdscategorie" tableColumnId="21"/>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1" connectionId="9" xr16:uid="{1774D010-A1C6-4AFF-A232-696AEE801FDB}" autoFormatId="16" applyNumberFormats="0" applyBorderFormats="0" applyFontFormats="0" applyPatternFormats="0" applyAlignmentFormats="0" applyWidthHeightFormats="0">
  <queryTableRefresh nextId="239">
    <queryTableFields count="53">
      <queryTableField id="1" name="Kringdag" tableColumnId="1"/>
      <queryTableField id="114" name="Ver.nr." tableColumnId="2"/>
      <queryTableField id="3" name="Naam vereniging" tableColumnId="3"/>
      <queryTableField id="4" name="Delegatie" tableColumnId="4"/>
      <queryTableField id="115" name="Muziekkorps tijdens mars en defilé" tableColumnId="5"/>
      <queryTableField id="116" name="Deelname jeugdkoningschieten" tableColumnId="6"/>
      <queryTableField id="7" name="Maj. Senioren jureren bij mars" tableColumnId="7"/>
      <queryTableField id="8" name="Maj. Jeugd jureren bij mars" tableColumnId="8"/>
      <queryTableField id="9" name="Korps senioren" tableColumnId="9"/>
      <queryTableField id="106" name="Junioren korps 1" tableColumnId="10"/>
      <queryTableField id="107" name="Junioren korps 2" tableColumnId="11"/>
      <queryTableField id="108" name="Aspiranten korps 1" tableColumnId="26"/>
      <queryTableField id="109" name="Aspiranten korps 2" tableColumnId="30"/>
      <queryTableField id="12" name="Acrobatisch senioren" tableColumnId="12"/>
      <queryTableField id="13" name="Acrobatisch junioren" tableColumnId="13"/>
      <queryTableField id="14" name="Acrobatisch aspiranten" tableColumnId="14"/>
      <queryTableField id="117" name="Opgeven vendeliers ind." tableColumnId="15"/>
      <queryTableField id="118" name="Acrob. senioren indiv." tableColumnId="16"/>
      <queryTableField id="119" name="Acrob. junioren indiv." tableColumnId="17"/>
      <queryTableField id="120" name="Acrob. aspiranten indiv." tableColumnId="18"/>
      <queryTableField id="121" name="Deelname hoofdkorps" tableColumnId="19"/>
      <queryTableField id="74" name="Groepen, teams, ensembles en duo's" tableColumnId="31"/>
      <queryTableField id="70" name="Aantal opgegeven majorettes" tableColumnId="70"/>
      <queryTableField id="122" name="Opgeven bielemannen" tableColumnId="20"/>
      <queryTableField id="27" name="Senioren" tableColumnId="27"/>
      <queryTableField id="75" name="Jong volwassene" tableColumnId="32"/>
      <queryTableField id="28" name="Junioren" tableColumnId="28"/>
      <queryTableField id="29" name="Aspiranten" tableColumnId="29"/>
      <queryTableField id="123" name="Deelname marketentsters" tableColumnId="21"/>
      <queryTableField id="80" name="Aantal luchtgeweerschutters" tableColumnId="42"/>
      <queryTableField id="81" name="Aantal luchtpistoolschutters" tableColumnId="43"/>
      <queryTableField id="82" name="Aantal handboogschutters" tableColumnId="44"/>
      <queryTableField id="83" name="Aantal kruisboogschutters" tableColumnId="71"/>
      <queryTableField id="124" name="(Aantal jeugdkorpsen" tableColumnId="22"/>
      <queryTableField id="45" name="Totaal aantal deelnemers" tableColumnId="45"/>
      <queryTableField id="46" name="Waarvan aantal jeugd (t/m 15 jaar)" tableColumnId="46"/>
      <queryTableField id="47" name="Kanon etc." tableColumnId="47"/>
      <queryTableField id="48" name="Paarden en/of koetsen" tableColumnId="48"/>
      <queryTableField id="49" name="Toelichting/opmerkingen" tableColumnId="49"/>
      <queryTableField id="50" name="Inzending-ID" tableColumnId="50"/>
      <queryTableField id="51" name="Inzenddatum" tableColumnId="51"/>
      <queryTableField id="87" name="Date Updated" tableColumnId="75"/>
      <queryTableField id="52" name="Naam van het hoofdkorps" tableColumnId="52"/>
      <queryTableField id="53" name="Zal op treden als (hoofdkorps)" tableColumnId="53"/>
      <queryTableField id="54" name="Vorm van twee muziekwerken (hoofdkorps)" tableColumnId="54"/>
      <queryTableField id="55" name="Zal uitkomen in de: (hoofdkorps)" tableColumnId="55"/>
      <queryTableField id="56" name="Muziekwerk1 (hoofdkorps)" tableColumnId="56"/>
      <queryTableField id="57" name="Muziekwerk2 (hoofdkorps)" tableColumnId="57"/>
      <queryTableField id="58" name="Korps bestaat uit ... deelnemers (hoofdkorps)" tableColumnId="58"/>
      <queryTableField id="125" name="Wordt er gebruik gemaakt van mechanische muziek?" tableColumnId="23"/>
      <queryTableField id="66" name="Onderdelen" tableColumnId="66"/>
      <queryTableField id="67" name="Secties" tableColumnId="67"/>
      <queryTableField id="68" name="Leeftijdscategorie" tableColumnId="68"/>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_1" connectionId="7" xr16:uid="{75F95843-E985-9049-A2CB-FD34E4C2EFFF}" autoFormatId="16" applyNumberFormats="0" applyBorderFormats="0" applyFontFormats="0" applyPatternFormats="0" applyAlignmentFormats="0" applyWidthHeightFormats="0">
  <queryTableRefresh nextId="154">
    <queryTableFields count="53">
      <queryTableField id="1" name="Kringdag" tableColumnId="1"/>
      <queryTableField id="2" name="Ver.nr." tableColumnId="2"/>
      <queryTableField id="3" name="Naam vereniging" tableColumnId="3"/>
      <queryTableField id="4" name="Delegatie" tableColumnId="4"/>
      <queryTableField id="5" name="Muziekkorps tijdens mars en defilé" tableColumnId="5"/>
      <queryTableField id="6" name="Deelname jeugdkoningschieten" tableColumnId="6"/>
      <queryTableField id="7" name="Maj. Senioren jureren bij mars" tableColumnId="7"/>
      <queryTableField id="8" name="Maj. Jeugd jureren bij mars" tableColumnId="8"/>
      <queryTableField id="9" name="Korps senioren" tableColumnId="9"/>
      <queryTableField id="10" name="Junioren korps 1" tableColumnId="10"/>
      <queryTableField id="11" name="Junioren korps 2" tableColumnId="11"/>
      <queryTableField id="12" name="Aspiranten korps 1" tableColumnId="12"/>
      <queryTableField id="13" name="Aspiranten korps 2" tableColumnId="13"/>
      <queryTableField id="14" name="Acrobatisch senioren" tableColumnId="14"/>
      <queryTableField id="15" name="Acrobatisch junioren" tableColumnId="15"/>
      <queryTableField id="16" name="Acrobatisch aspiranten" tableColumnId="16"/>
      <queryTableField id="17" name="Opgeven vendeliers ind." tableColumnId="17"/>
      <queryTableField id="18" name="Acrob. senioren indiv." tableColumnId="18"/>
      <queryTableField id="19" name="Acrob. junioren indiv." tableColumnId="19"/>
      <queryTableField id="20" name="Acrob. aspiranten indiv." tableColumnId="20"/>
      <queryTableField id="21" name="Deelname hoofdkorps" tableColumnId="21"/>
      <queryTableField id="22" name="Groepen, teams, ensembles en duo's" tableColumnId="22"/>
      <queryTableField id="23" name="Aantal opgegeven majorettes" tableColumnId="23"/>
      <queryTableField id="24" name="Opgeven bielemannen" tableColumnId="24"/>
      <queryTableField id="25" name="Senioren" tableColumnId="25"/>
      <queryTableField id="26" name="Jong Volwassene" tableColumnId="26"/>
      <queryTableField id="27" name="Junioren" tableColumnId="27"/>
      <queryTableField id="28" name="Aspiranten" tableColumnId="28"/>
      <queryTableField id="29" name="Deelname marketentsters" tableColumnId="29"/>
      <queryTableField id="30" name="Aantal luchtgeweerschutters" tableColumnId="30"/>
      <queryTableField id="31" name="Aantal luchtpistoolschutters" tableColumnId="31"/>
      <queryTableField id="32" name="Aantal handboogschutters" tableColumnId="32"/>
      <queryTableField id="33" name="Aantal kruisboogschutters" tableColumnId="33"/>
      <queryTableField id="34" name="(Aantal jeugdkorpsen" tableColumnId="34"/>
      <queryTableField id="35" name="Totaal aantal deelnemers" tableColumnId="35"/>
      <queryTableField id="36" name="Waarvan aantal jeugd (t/m 15 jaar)" tableColumnId="36"/>
      <queryTableField id="37" name="Kanon etc." tableColumnId="37"/>
      <queryTableField id="38" name="Paarden en/of koetsen" tableColumnId="38"/>
      <queryTableField id="39" name="Toelichting/opmerkingen" tableColumnId="39"/>
      <queryTableField id="40" name="Inzending-ID" tableColumnId="40"/>
      <queryTableField id="41" name="Inzenddatum" tableColumnId="41"/>
      <queryTableField id="42" name="Date Updated" tableColumnId="42"/>
      <queryTableField id="43" name="Naam van het hoofdkorps" tableColumnId="43"/>
      <queryTableField id="44" name="Zal op treden als (hoofdkorps)" tableColumnId="44"/>
      <queryTableField id="45" name="Vorm van twee muziekwerken (hoofdkorps)" tableColumnId="45"/>
      <queryTableField id="46" name="Zal uitkomen in de: (hoofdkorps)" tableColumnId="46"/>
      <queryTableField id="47" name="Muziekwerk1 (hoofdkorps)" tableColumnId="47"/>
      <queryTableField id="48" name="Muziekwerk2 (hoofdkorps)" tableColumnId="48"/>
      <queryTableField id="49" name="Korps bestaat uit ... deelnemers (hoofdkorps)" tableColumnId="49"/>
      <queryTableField id="50" name="Wordt er gebruik gemaakt van mechanische muziek?" tableColumnId="50"/>
      <queryTableField id="51" name="Onderdelen" tableColumnId="51"/>
      <queryTableField id="52" name="Secties" tableColumnId="52"/>
      <queryTableField id="53" name="Leeftijdscategorie" tableColumnId="53"/>
    </queryTable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ExternalData_1" connectionId="6" xr16:uid="{26835A5A-1895-0240-ACB2-E8F93ED4709E}" autoFormatId="16" applyNumberFormats="0" applyBorderFormats="0" applyFontFormats="0" applyPatternFormats="0" applyAlignmentFormats="0" applyWidthHeightFormats="0">
  <queryTableRefresh nextId="74">
    <queryTableFields count="53">
      <queryTableField id="1" name="Kringdag" tableColumnId="1"/>
      <queryTableField id="2" name="Ver.nr." tableColumnId="2"/>
      <queryTableField id="3" name="Naam vereniging" tableColumnId="3"/>
      <queryTableField id="4" name="Delegatie" tableColumnId="4"/>
      <queryTableField id="5" name="Muziekkorps tijdens mars en defilé" tableColumnId="5"/>
      <queryTableField id="6" name="Deelname jeugdkoningschieten" tableColumnId="6"/>
      <queryTableField id="7" name="Maj. Senioren jureren bij mars" tableColumnId="7"/>
      <queryTableField id="8" name="Maj. Jeugd jureren bij mars" tableColumnId="8"/>
      <queryTableField id="9" name="Korps senioren" tableColumnId="9"/>
      <queryTableField id="10" name="Junioren korps 1" tableColumnId="10"/>
      <queryTableField id="11" name="Junioren korps 2" tableColumnId="11"/>
      <queryTableField id="12" name="Aspiranten korps 1" tableColumnId="12"/>
      <queryTableField id="13" name="Aspiranten korps 2" tableColumnId="13"/>
      <queryTableField id="14" name="Acrobatisch senioren" tableColumnId="14"/>
      <queryTableField id="15" name="Acrobatisch junioren" tableColumnId="15"/>
      <queryTableField id="16" name="Acrobatisch aspiranten" tableColumnId="16"/>
      <queryTableField id="17" name="Opgeven vendeliers ind." tableColumnId="17"/>
      <queryTableField id="18" name="Acrob. senioren indiv." tableColumnId="18"/>
      <queryTableField id="19" name="Acrob. junioren indiv." tableColumnId="19"/>
      <queryTableField id="20" name="Acrob. aspiranten indiv." tableColumnId="20"/>
      <queryTableField id="21" name="Deelname hoofdkorps" tableColumnId="21"/>
      <queryTableField id="22" name="Groepen, teams, ensembles en duo's" tableColumnId="22"/>
      <queryTableField id="23" name="Aantal opgegeven majorettes" tableColumnId="23"/>
      <queryTableField id="24" name="Opgeven bielemannen" tableColumnId="24"/>
      <queryTableField id="25" name="Senioren" tableColumnId="25"/>
      <queryTableField id="26" name="Jong Volwassene" tableColumnId="26"/>
      <queryTableField id="27" name="Junioren" tableColumnId="27"/>
      <queryTableField id="28" name="Aspiranten" tableColumnId="28"/>
      <queryTableField id="29" name="Deelname marketentsters" tableColumnId="29"/>
      <queryTableField id="30" name="Aantal luchtgeweerschutters" tableColumnId="30"/>
      <queryTableField id="31" name="Aantal luchtpistoolschutters" tableColumnId="31"/>
      <queryTableField id="32" name="Aantal handboogschutters" tableColumnId="32"/>
      <queryTableField id="33" name="Aantal kruisboogschutters" tableColumnId="33"/>
      <queryTableField id="34" name="(Aantal jeugdkorpsen" tableColumnId="34"/>
      <queryTableField id="35" name="Totaal aantal deelnemers" tableColumnId="35"/>
      <queryTableField id="36" name="Waarvan aantal jeugd (t/m 15 jaar)" tableColumnId="36"/>
      <queryTableField id="37" name="Kanon etc." tableColumnId="37"/>
      <queryTableField id="38" name="Paarden en/of koetsen" tableColumnId="38"/>
      <queryTableField id="39" name="Toelichting/opmerkingen" tableColumnId="39"/>
      <queryTableField id="40" name="Inzending-ID" tableColumnId="40"/>
      <queryTableField id="41" name="Inzenddatum" tableColumnId="41"/>
      <queryTableField id="42" name="Date Updated" tableColumnId="42"/>
      <queryTableField id="43" name="Naam van het hoofdkorps" tableColumnId="43"/>
      <queryTableField id="44" name="Zal op treden als (hoofdkorps)" tableColumnId="44"/>
      <queryTableField id="45" name="Vorm van twee muziekwerken (hoofdkorps)" tableColumnId="45"/>
      <queryTableField id="46" name="Zal uitkomen in de: (hoofdkorps)" tableColumnId="46"/>
      <queryTableField id="67" name="Muziekwerk1 (hoofdkorps)" tableColumnId="67"/>
      <queryTableField id="68" name="Muziekwerk2 (hoofdkorps)" tableColumnId="68"/>
      <queryTableField id="69" name="Korps bestaat uit ... deelnemers (hoofdkorps)" tableColumnId="69"/>
      <queryTableField id="70" name="Wordt er gebruik gemaakt van mechanische muziek?" tableColumnId="70"/>
      <queryTableField id="71" name="Onderdelen" tableColumnId="71"/>
      <queryTableField id="72" name="Secties" tableColumnId="72"/>
      <queryTableField id="73" name="Leeftijdscategorie" tableColumnId="73"/>
    </queryTableFields>
  </queryTableRefresh>
</queryTable>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ExternalData_1" connectionId="4" xr16:uid="{0C2B39FD-CD34-4C45-8EFD-FD45938D9BB9}" autoFormatId="16" applyNumberFormats="0" applyBorderFormats="0" applyFontFormats="0" applyPatternFormats="0" applyAlignmentFormats="0" applyWidthHeightFormats="0">
  <queryTableRefresh nextId="239">
    <queryTableFields count="53">
      <queryTableField id="1" name="Kringdag" tableColumnId="1"/>
      <queryTableField id="114" name="Ver.nr." tableColumnId="2"/>
      <queryTableField id="3" name="Naam vereniging" tableColumnId="3"/>
      <queryTableField id="4" name="Delegatie" tableColumnId="4"/>
      <queryTableField id="115" name="Muziekkorps tijdens mars en defilé" tableColumnId="5"/>
      <queryTableField id="116" name="Deelname jeugdkoningschieten" tableColumnId="6"/>
      <queryTableField id="7" name="Maj. Senioren jureren bij mars" tableColumnId="7"/>
      <queryTableField id="8" name="Maj. Jeugd jureren bij mars" tableColumnId="8"/>
      <queryTableField id="9" name="Korps senioren" tableColumnId="9"/>
      <queryTableField id="106" name="Junioren korps 1" tableColumnId="10"/>
      <queryTableField id="107" name="Junioren korps 2" tableColumnId="11"/>
      <queryTableField id="108" name="Aspiranten korps 1" tableColumnId="26"/>
      <queryTableField id="109" name="Aspiranten korps 2" tableColumnId="30"/>
      <queryTableField id="12" name="Acrobatisch senioren" tableColumnId="12"/>
      <queryTableField id="13" name="Acrobatisch junioren" tableColumnId="13"/>
      <queryTableField id="14" name="Acrobatisch aspiranten" tableColumnId="14"/>
      <queryTableField id="117" name="Opgeven vendeliers ind." tableColumnId="15"/>
      <queryTableField id="118" name="Acrob. senioren indiv." tableColumnId="16"/>
      <queryTableField id="119" name="Acrob. junioren indiv." tableColumnId="17"/>
      <queryTableField id="120" name="Acrob. aspiranten indiv." tableColumnId="18"/>
      <queryTableField id="121" name="Deelname hoofdkorps" tableColumnId="19"/>
      <queryTableField id="74" name="Groepen, teams, ensembles en duo's" tableColumnId="31"/>
      <queryTableField id="70" name="Aantal opgegeven majorettes" tableColumnId="70"/>
      <queryTableField id="122" name="Opgeven bielemannen" tableColumnId="20"/>
      <queryTableField id="27" name="Senioren" tableColumnId="27"/>
      <queryTableField id="75" name="Jong volwassene" tableColumnId="32"/>
      <queryTableField id="28" name="Junioren" tableColumnId="28"/>
      <queryTableField id="29" name="Aspiranten" tableColumnId="29"/>
      <queryTableField id="123" name="Deelname marketentsters" tableColumnId="21"/>
      <queryTableField id="80" name="Aantal luchtgeweerschutters" tableColumnId="42"/>
      <queryTableField id="81" name="Aantal luchtpistoolschutters" tableColumnId="43"/>
      <queryTableField id="82" name="Aantal handboogschutters" tableColumnId="44"/>
      <queryTableField id="83" name="Aantal kruisboogschutters" tableColumnId="71"/>
      <queryTableField id="124" name="(Aantal jeugdkorpsen" tableColumnId="22"/>
      <queryTableField id="45" name="Totaal aantal deelnemers" tableColumnId="45"/>
      <queryTableField id="46" name="Waarvan aantal jeugd (t/m 15 jaar)" tableColumnId="46"/>
      <queryTableField id="47" name="Kanon etc." tableColumnId="47"/>
      <queryTableField id="48" name="Paarden en/of koetsen" tableColumnId="48"/>
      <queryTableField id="49" name="Toelichting/opmerkingen" tableColumnId="49"/>
      <queryTableField id="50" name="Inzending-ID" tableColumnId="50"/>
      <queryTableField id="51" name="Inzenddatum" tableColumnId="51"/>
      <queryTableField id="87" name="Date Updated" tableColumnId="75"/>
      <queryTableField id="52" name="Naam van het hoofdkorps" tableColumnId="52"/>
      <queryTableField id="53" name="Zal op treden als (hoofdkorps)" tableColumnId="53"/>
      <queryTableField id="54" name="Vorm van twee muziekwerken (hoofdkorps)" tableColumnId="54"/>
      <queryTableField id="55" name="Zal uitkomen in de: (hoofdkorps)" tableColumnId="55"/>
      <queryTableField id="56" name="Muziekwerk1 (hoofdkorps)" tableColumnId="56"/>
      <queryTableField id="57" name="Muziekwerk2 (hoofdkorps)" tableColumnId="57"/>
      <queryTableField id="58" name="Korps bestaat uit ... deelnemers (hoofdkorps)" tableColumnId="58"/>
      <queryTableField id="125" name="Wordt er gebruik gemaakt van mechanische muziek?" tableColumnId="23"/>
      <queryTableField id="66" name="Onderdelen" tableColumnId="66"/>
      <queryTableField id="67" name="Secties" tableColumnId="67"/>
      <queryTableField id="68" name="Leeftijdscategorie" tableColumnId="68"/>
    </queryTableFields>
  </queryTableRefresh>
</queryTable>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ExternalData_1" connectionId="5" xr16:uid="{2E8E00EF-77DF-4B46-9EE6-830254D7A034}" autoFormatId="16" applyNumberFormats="0" applyBorderFormats="0" applyFontFormats="0" applyPatternFormats="0" applyAlignmentFormats="0" applyWidthHeightFormats="0">
  <queryTableRefresh nextId="160">
    <queryTableFields count="20">
      <queryTableField id="1" name="Inzending-ID" tableColumnId="1"/>
      <queryTableField id="102" name="Inzenddatum" tableColumnId="102"/>
      <queryTableField id="2" name="GKVI" tableColumnId="2"/>
      <queryTableField id="4" name="Verenigingsnummer" tableColumnId="4"/>
      <queryTableField id="5" name="Naam vereniging" tableColumnId="5"/>
      <queryTableField id="89" name="Korps klassiek senioren" tableColumnId="89"/>
      <queryTableField id="90" name="Korps 1 klassiek junioren" tableColumnId="90"/>
      <queryTableField id="91" name="Korps 2 klassiek junioren" tableColumnId="91"/>
      <queryTableField id="92" name="Korps 1 klassiek aspiranten" tableColumnId="92"/>
      <queryTableField id="93" name="Korps 2 klassiek aspiranten" tableColumnId="93"/>
      <queryTableField id="94" name="Korps acrob. senioren" tableColumnId="94"/>
      <queryTableField id="95" name="Korps acrob. junioren" tableColumnId="95"/>
      <queryTableField id="96" name="Korps acrob. aspiranten" tableColumnId="96"/>
      <queryTableField id="97" name="Acrob. senioren indiv." tableColumnId="97"/>
      <queryTableField id="98" name="Acrob. junioren indiv." tableColumnId="98"/>
      <queryTableField id="99" name="Acrob. aspiranten indiv." tableColumnId="99"/>
      <queryTableField id="100" name="Aantal deelnemers" tableColumnId="100"/>
      <queryTableField id="101" name="Hiervan is aspirant" tableColumnId="101"/>
      <queryTableField id="103" name="Opmerkingen" tableColumnId="103"/>
      <queryTableField id="104" name="Date Updated" tableColumnId="104"/>
    </queryTableFields>
  </queryTableRefresh>
</queryTable>
</file>

<file path=xl/queryTables/queryTable8.xml><?xml version="1.0" encoding="utf-8"?>
<queryTable xmlns="http://schemas.openxmlformats.org/spreadsheetml/2006/main" xmlns:mc="http://schemas.openxmlformats.org/markup-compatibility/2006" xmlns:xr16="http://schemas.microsoft.com/office/spreadsheetml/2017/revision16" mc:Ignorable="xr16" name="ExternalData_2" connectionId="3" xr16:uid="{77D2631A-4410-2543-8771-EA0D3739FB55}" autoFormatId="16" applyNumberFormats="0" applyBorderFormats="0" applyFontFormats="0" applyPatternFormats="0" applyAlignmentFormats="0" applyWidthHeightFormats="0">
  <queryTableRefresh nextId="541">
    <queryTableFields count="11">
      <queryTableField id="303" name="BIEL" tableColumnId="303"/>
      <queryTableField id="539" name="Verenigingsnummer" tableColumnId="60"/>
      <queryTableField id="305" name="Naam vereniging" tableColumnId="305"/>
      <queryTableField id="524" name="Senioren" tableColumnId="56"/>
      <queryTableField id="527" name="Jong Volwassene" tableColumnId="59"/>
      <queryTableField id="525" name="Junioren" tableColumnId="57"/>
      <queryTableField id="526" name="Aspiranten" tableColumnId="58"/>
      <queryTableField id="461" name="Opmerkingen/toelichting" tableColumnId="461"/>
      <queryTableField id="301" name="Inzending-ID" tableColumnId="301"/>
      <queryTableField id="302" name="Inzenddatum" tableColumnId="302"/>
      <queryTableField id="463" name="Date Updated" tableColumnId="463"/>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7.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_rels/table8.xml.rels><?xml version="1.0" encoding="UTF-8" standalone="yes"?>
<Relationships xmlns="http://schemas.openxmlformats.org/package/2006/relationships"><Relationship Id="rId1" Type="http://schemas.openxmlformats.org/officeDocument/2006/relationships/queryTable" Target="../queryTables/queryTable7.xml"/></Relationships>
</file>

<file path=xl/tables/_rels/table9.xml.rels><?xml version="1.0" encoding="UTF-8" standalone="yes"?>
<Relationships xmlns="http://schemas.openxmlformats.org/package/2006/relationships"><Relationship Id="rId1" Type="http://schemas.openxmlformats.org/officeDocument/2006/relationships/queryTable" Target="../queryTables/queryTable8.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BEF4B27-7F6D-6E4C-BB79-6B256859A82D}" name="Kringdagen_" displayName="Kringdagen_" ref="A6:BA106" tableType="queryTable" totalsRowCount="1" headerRowDxfId="434" headerRowCellStyle="Goed">
  <autoFilter ref="A6:BA105" xr:uid="{2BEF4B27-7F6D-6E4C-BB79-6B256859A82D}"/>
  <tableColumns count="53">
    <tableColumn id="1" xr3:uid="{2B0DE392-412F-4949-B4E4-B87999873595}" uniqueName="1" name="Kringdag" totalsRowLabel="Totaal" queryTableFieldId="1" dataDxfId="433"/>
    <tableColumn id="2" xr3:uid="{0A678D37-FD51-284E-9D1B-5F4C1A01BC5C}" uniqueName="2" name="Ver.nr." queryTableFieldId="2" dataDxfId="432"/>
    <tableColumn id="3" xr3:uid="{BC6E819B-4BD3-0341-8E71-F4122EA170B5}" uniqueName="3" name="Naam vereniging" totalsRowFunction="count" queryTableFieldId="3" dataDxfId="431"/>
    <tableColumn id="4" xr3:uid="{9232C4CE-ACE6-F84B-9825-66F2FA042B40}" uniqueName="4" name="Delegatie" totalsRowFunction="custom" queryTableFieldId="4" dataDxfId="430" totalsRowDxfId="8">
      <totalsRowFormula>COUNTIF(Kringdagen_[Delegatie],"x")</totalsRowFormula>
    </tableColumn>
    <tableColumn id="5" xr3:uid="{B2BFE312-F76A-C043-B1C3-8D8ABBF247DF}" uniqueName="5" name="Muziekkorps tijdens mars en defilé" totalsRowFunction="custom" queryTableFieldId="5" dataDxfId="429" totalsRowDxfId="9">
      <totalsRowFormula>COUNTIF(Kringdagen_[Muziekkorps tijdens mars en defilé],"x")</totalsRowFormula>
    </tableColumn>
    <tableColumn id="6" xr3:uid="{14146C0D-2568-2149-852A-2D40FE55ED7F}" uniqueName="6" name="Deelname jeugdkoningschieten" totalsRowFunction="custom" queryTableFieldId="6" dataDxfId="428" totalsRowDxfId="10">
      <totalsRowFormula>COUNTIF(Kringdagen_[Deelname jeugdkoningschieten],"x")</totalsRowFormula>
    </tableColumn>
    <tableColumn id="7" xr3:uid="{66A6B64F-0A76-D042-98F5-52765633A1EC}" uniqueName="7" name="Maj. Senioren jureren bij mars" totalsRowFunction="custom" queryTableFieldId="7" dataDxfId="427" totalsRowDxfId="11">
      <totalsRowFormula>COUNTIF(Kringdagen_[Maj. Senioren jureren bij mars],"x")</totalsRowFormula>
    </tableColumn>
    <tableColumn id="8" xr3:uid="{841953DC-0DB4-3F4A-B279-A889361AA542}" uniqueName="8" name="Maj. Jeugd jureren bij mars" totalsRowFunction="custom" queryTableFieldId="8" dataDxfId="426" totalsRowDxfId="12">
      <totalsRowFormula>COUNTIF(Kringdagen_[Maj. Jeugd jureren bij mars],"x")</totalsRowFormula>
    </tableColumn>
    <tableColumn id="9" xr3:uid="{EC6C2E16-4C66-E14A-AD03-E2E2828FF568}" uniqueName="9" name="Korps senioren" totalsRowFunction="sum" queryTableFieldId="9" totalsRowDxfId="13"/>
    <tableColumn id="10" xr3:uid="{6EB1DE0F-CC75-F14C-96DF-3F7E8AD3B612}" uniqueName="10" name="Junioren korps 1" totalsRowFunction="sum" queryTableFieldId="10" totalsRowDxfId="14"/>
    <tableColumn id="11" xr3:uid="{B7127E1C-FE2D-0341-AA60-6BFDAB0C23C4}" uniqueName="11" name="Junioren korps 2" totalsRowFunction="sum" queryTableFieldId="11" totalsRowDxfId="15"/>
    <tableColumn id="12" xr3:uid="{16323A44-212E-0E43-BB54-844991151D78}" uniqueName="12" name="Aspiranten korps 1" totalsRowFunction="sum" queryTableFieldId="12" totalsRowDxfId="16"/>
    <tableColumn id="13" xr3:uid="{64CEF4EB-B175-0B41-9EEF-E1D6D1D69884}" uniqueName="13" name="Aspiranten korps 2" totalsRowFunction="sum" queryTableFieldId="13" totalsRowDxfId="17"/>
    <tableColumn id="14" xr3:uid="{D1270DBF-43FF-9643-B1C4-1E8ABE5C7B28}" uniqueName="14" name="Acrobatisch senioren" totalsRowFunction="sum" queryTableFieldId="14" totalsRowDxfId="18"/>
    <tableColumn id="15" xr3:uid="{201419B3-3EDE-1044-BCCE-457EA5E572FA}" uniqueName="15" name="Acrobatisch junioren" totalsRowFunction="sum" queryTableFieldId="15" totalsRowDxfId="19"/>
    <tableColumn id="16" xr3:uid="{3DC2D47E-57FA-4644-B38F-911C5D4A4CB6}" uniqueName="16" name="Acrobatisch aspiranten" totalsRowFunction="sum" queryTableFieldId="16" totalsRowDxfId="20"/>
    <tableColumn id="17" xr3:uid="{1AFF0D7A-6BCF-6940-A664-71EDEB588F92}" uniqueName="17" name="Opgeven vendeliers ind." totalsRowFunction="sum" queryTableFieldId="17"/>
    <tableColumn id="18" xr3:uid="{CFA9B3FA-63A7-984F-AB17-366BE8FD70C3}" uniqueName="18" name="Acrob. senioren indiv." totalsRowFunction="sum" queryTableFieldId="18"/>
    <tableColumn id="19" xr3:uid="{FDC5E9C0-0324-3D46-B07E-AA368CFF09E4}" uniqueName="19" name="Acrob. junioren indiv." totalsRowFunction="sum" queryTableFieldId="19"/>
    <tableColumn id="20" xr3:uid="{F830DB36-3595-9946-A4E6-35BB75A369E1}" uniqueName="20" name="Acrob. aspiranten indiv." totalsRowFunction="sum" queryTableFieldId="20"/>
    <tableColumn id="21" xr3:uid="{C31E5AFB-07B3-D145-90A4-1522A7C48810}" uniqueName="21" name="Deelname hoofdkorps" totalsRowFunction="custom" queryTableFieldId="21" dataDxfId="425" totalsRowDxfId="21">
      <totalsRowFormula>COUNTIF(Kringdagen_[Deelname hoofdkorps],"x")</totalsRowFormula>
    </tableColumn>
    <tableColumn id="22" xr3:uid="{92718748-913F-7B48-903F-0F2700F65E1A}" uniqueName="22" name="Groepen, teams, ensembles en duo's" totalsRowFunction="sum" queryTableFieldId="22" totalsRowDxfId="22"/>
    <tableColumn id="23" xr3:uid="{ADE8080E-A4C0-B34B-BE21-5E51E9CED3E2}" uniqueName="23" name="Aantal opgegeven majorettes" totalsRowFunction="sum" queryTableFieldId="23" totalsRowDxfId="23"/>
    <tableColumn id="24" xr3:uid="{05DE5974-3D3B-0E40-B253-B162F5FB7E01}" uniqueName="24" name="Opgeven bielemannen" totalsRowFunction="sum" queryTableFieldId="24"/>
    <tableColumn id="25" xr3:uid="{B8FDB1AC-F991-7447-83BC-CEE5302ECB24}" uniqueName="25" name="Senioren" totalsRowFunction="sum" queryTableFieldId="25" totalsRowDxfId="24"/>
    <tableColumn id="26" xr3:uid="{00DE2BD5-D903-524F-98B0-28C2CEC451D7}" uniqueName="26" name="Jong Volwassene" totalsRowFunction="sum" queryTableFieldId="26" totalsRowDxfId="25"/>
    <tableColumn id="27" xr3:uid="{05967965-E547-574E-8E7C-C8F1DE24C335}" uniqueName="27" name="Junioren" totalsRowFunction="sum" queryTableFieldId="27" totalsRowDxfId="26"/>
    <tableColumn id="28" xr3:uid="{A5E79377-0044-A845-A39F-292916E8A178}" uniqueName="28" name="Aspiranten" totalsRowFunction="sum" queryTableFieldId="28" totalsRowDxfId="27"/>
    <tableColumn id="29" xr3:uid="{C9A12F1A-AF59-A04C-BB54-A5835F7F3390}" uniqueName="29" name="Deelname marketentsters" totalsRowFunction="custom" queryTableFieldId="29" dataDxfId="424" totalsRowDxfId="28">
      <totalsRowFormula>COUNTIF(Kringdagen_[Deelname marketentsters],"x")</totalsRowFormula>
    </tableColumn>
    <tableColumn id="30" xr3:uid="{43C7BB5B-60FA-D24F-A262-50623C340E4E}" uniqueName="30" name="Aantal luchtgeweerschutters" totalsRowFunction="sum" queryTableFieldId="30"/>
    <tableColumn id="31" xr3:uid="{0D96D5DE-F2A1-1F40-85C1-744E47B26A7C}" uniqueName="31" name="Aantal luchtpistoolschutters" totalsRowFunction="sum" queryTableFieldId="31" totalsRowDxfId="29"/>
    <tableColumn id="32" xr3:uid="{0709EE53-AC4D-A84D-ACA3-C0A4CF3A9C2C}" uniqueName="32" name="Aantal handboogschutters" totalsRowFunction="sum" queryTableFieldId="32"/>
    <tableColumn id="33" xr3:uid="{48DEC26B-A0B9-844A-8F2D-A54E2A92E45B}" uniqueName="33" name="Aantal kruisboogschutters" totalsRowFunction="sum" queryTableFieldId="33" totalsRowDxfId="30"/>
    <tableColumn id="34" xr3:uid="{318C4C29-C5D4-E849-A96E-44700B9DAC1C}" uniqueName="34" name="(Aantal jeugdkorpsen" totalsRowFunction="sum" queryTableFieldId="34"/>
    <tableColumn id="35" xr3:uid="{A892A41C-F07B-5749-8191-4E66D6730E3F}" uniqueName="35" name="Totaal aantal deelnemers" totalsRowFunction="sum" queryTableFieldId="35" totalsRowDxfId="31"/>
    <tableColumn id="36" xr3:uid="{E7D4D8CE-2C9B-D145-B35D-A2BC2B12DFCA}" uniqueName="36" name="Waarvan aantal jeugd (t/m 15 jaar)" totalsRowFunction="sum" queryTableFieldId="36" totalsRowDxfId="32"/>
    <tableColumn id="37" xr3:uid="{B41A6BC4-B0CF-834A-840D-6E6C264760A7}" uniqueName="37" name="Kanon etc." totalsRowFunction="custom" queryTableFieldId="37" dataDxfId="423" totalsRowDxfId="33">
      <totalsRowFormula>COUNTIF(Kringdagen_[Kanon etc.],"x")</totalsRowFormula>
    </tableColumn>
    <tableColumn id="38" xr3:uid="{09DC78AA-EA87-5848-852C-5DD36F3AEEAE}" uniqueName="38" name="Paarden en/of koetsen" totalsRowFunction="custom" queryTableFieldId="38" dataDxfId="422" totalsRowDxfId="34">
      <totalsRowFormula>COUNTIF(Kringdagen_[Paarden en/of koetsen],"x")</totalsRowFormula>
    </tableColumn>
    <tableColumn id="39" xr3:uid="{DAC7F8C5-3768-3646-A74F-45934111CC7A}" uniqueName="39" name="Toelichting/opmerkingen" queryTableFieldId="39" dataDxfId="4" totalsRowDxfId="35"/>
    <tableColumn id="40" xr3:uid="{508206D0-F2F1-3D4D-8190-D5718FC0CC2F}" uniqueName="40" name="Inzending-ID" queryTableFieldId="40" dataDxfId="421" totalsRowDxfId="36"/>
    <tableColumn id="41" xr3:uid="{DF58AEDA-60F3-3248-A9B2-1BC0964C01F4}" uniqueName="41" name="Inzenddatum" queryTableFieldId="41" dataDxfId="3" totalsRowDxfId="37"/>
    <tableColumn id="42" xr3:uid="{CCF91740-78D3-8246-B5EC-EF7495C78FFE}" uniqueName="42" name="Date Updated" queryTableFieldId="42" dataDxfId="2" totalsRowDxfId="38"/>
    <tableColumn id="43" xr3:uid="{B0661650-E741-CA45-AABE-9966FACA92F7}" uniqueName="43" name="Naam van het hoofdkorps" queryTableFieldId="43" dataDxfId="420" totalsRowDxfId="39"/>
    <tableColumn id="44" xr3:uid="{E15758B3-3FF4-8A43-A5FA-768F7A90D912}" uniqueName="44" name="Zal op treden als (hoofdkorps)" queryTableFieldId="44" dataDxfId="419" totalsRowDxfId="40"/>
    <tableColumn id="45" xr3:uid="{448AA543-6F1E-904C-BC7B-C9C4A9035D35}" uniqueName="45" name="Vorm van twee muziekwerken (hoofdkorps)" queryTableFieldId="45" dataDxfId="418" totalsRowDxfId="41"/>
    <tableColumn id="46" xr3:uid="{2F58B5D0-AA5A-F74D-9B2E-D5236E1913EB}" uniqueName="46" name="Zal uitkomen in de: (hoofdkorps)" queryTableFieldId="46" dataDxfId="417" totalsRowDxfId="42"/>
    <tableColumn id="47" xr3:uid="{203F5F88-611B-0F48-90FF-EEA02A9FE7EB}" uniqueName="47" name="Muziekwerk1 (hoofdkorps)" queryTableFieldId="47" dataDxfId="416" totalsRowDxfId="43"/>
    <tableColumn id="48" xr3:uid="{7173442D-23E1-3B48-B847-93596EAA7F90}" uniqueName="48" name="Muziekwerk2 (hoofdkorps)" queryTableFieldId="48" dataDxfId="415" totalsRowDxfId="44"/>
    <tableColumn id="49" xr3:uid="{3C2BD45A-5288-6146-8FBC-0735C0C436DC}" uniqueName="49" name="Korps bestaat uit ... deelnemers (hoofdkorps)" totalsRowFunction="sum" queryTableFieldId="49" totalsRowDxfId="45"/>
    <tableColumn id="50" xr3:uid="{66D67AC7-AE34-FA40-A5B4-F00524A5FBFE}" uniqueName="50" name="Wordt er gebruik gemaakt van mechanische muziek?" queryTableFieldId="50" dataDxfId="414"/>
    <tableColumn id="51" xr3:uid="{0125C46F-3449-6446-9BAE-B98EEECB91FB}" uniqueName="51" name="Onderdelen" queryTableFieldId="51" dataDxfId="413" totalsRowDxfId="46"/>
    <tableColumn id="52" xr3:uid="{42B7A06E-81C9-C442-9454-30197409DC16}" uniqueName="52" name="Secties" queryTableFieldId="52" dataDxfId="412" totalsRowDxfId="47"/>
    <tableColumn id="53" xr3:uid="{6E483FBA-93F9-CB4B-BE8A-BBB034C4AE73}" uniqueName="53" name="Leeftijdscategorie" queryTableFieldId="53" dataDxfId="411" totalsRowDxfId="48"/>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F0B7CFD6-A6FB-B444-A3B3-A2D0051EED94}" name="KDM" displayName="KDM" ref="A6:BA21" tableType="queryTable" totalsRowCount="1" headerRowDxfId="410" headerRowCellStyle="Goed">
  <autoFilter ref="A6:BA20" xr:uid="{F0B7CFD6-A6FB-B444-A3B3-A2D0051EED94}">
    <filterColumn colId="3">
      <customFilters>
        <customFilter operator="notEqual" val=" "/>
      </customFilters>
    </filterColumn>
  </autoFilter>
  <tableColumns count="53">
    <tableColumn id="5" xr3:uid="{5EFE727F-9553-8D41-A6EC-6E90350533A8}" uniqueName="5" name="Kringdag" totalsRowLabel="Totaal" queryTableFieldId="5"/>
    <tableColumn id="30" xr3:uid="{2BC4B32B-C077-9344-8C8F-CF05D11ADAB5}" uniqueName="30" name="Ver.nr." queryTableFieldId="1004"/>
    <tableColumn id="27" xr3:uid="{B6E1B8D0-5EA1-724F-A766-2B46324E3E8B}" uniqueName="27" name="Naam vereniging" totalsRowFunction="count" queryTableFieldId="27"/>
    <tableColumn id="23" xr3:uid="{D06120C0-1A52-CD4F-8254-7F41D0AC58F6}" uniqueName="23" name="Delegatie" totalsRowFunction="custom" queryTableFieldId="958">
      <totalsRowFormula>COUNTIF(KDM[Delegatie],"x")</totalsRowFormula>
    </tableColumn>
    <tableColumn id="31" xr3:uid="{088129A7-2E72-634B-9FF7-FD4E328C12A9}" uniqueName="31" name="Muziekkorps tijdens mars en defilé" totalsRowFunction="custom" queryTableFieldId="31" totalsRowDxfId="275">
      <totalsRowFormula>COUNTIF(KDM[Muziekkorps tijdens mars en defilé],"x")</totalsRowFormula>
    </tableColumn>
    <tableColumn id="33" xr3:uid="{625D98C8-4D4F-B349-B1FF-064607268536}" uniqueName="33" name="Deelname jeugdkoningschieten" totalsRowFunction="custom" queryTableFieldId="33" totalsRowDxfId="276">
      <totalsRowFormula>COUNTIF(KDM[Deelname jeugdkoningschieten],"x")</totalsRowFormula>
    </tableColumn>
    <tableColumn id="4" xr3:uid="{BDC16792-8545-3B4F-8B84-4BE71F3B8D7D}" uniqueName="4" name="Maj. Senioren jureren bij mars" totalsRowFunction="custom" queryTableFieldId="924" totalsRowDxfId="277">
      <totalsRowFormula>COUNTIF(KDM[Maj. Senioren jureren bij mars],"x")</totalsRowFormula>
    </tableColumn>
    <tableColumn id="7" xr3:uid="{0E94A373-D120-8942-984A-588C49BC117B}" uniqueName="7" name="Maj. Jeugd jureren bij mars" totalsRowFunction="custom" queryTableFieldId="925" totalsRowDxfId="278">
      <totalsRowFormula>COUNTIF(KDM[Maj. Jeugd jureren bij mars], "x")</totalsRowFormula>
    </tableColumn>
    <tableColumn id="8" xr3:uid="{7C765EED-6E99-6E44-8B2E-96C84C1319E9}" uniqueName="8" name="Korps senioren" totalsRowFunction="sum" queryTableFieldId="926"/>
    <tableColumn id="9" xr3:uid="{499AAECC-AC0C-8240-9532-9210D415264A}" uniqueName="9" name="Junioren korps 1" totalsRowFunction="sum" queryTableFieldId="927"/>
    <tableColumn id="10" xr3:uid="{292FF1CA-7246-A949-A2F3-C835B08D13E6}" uniqueName="10" name="Junioren korps 2" totalsRowFunction="sum" queryTableFieldId="928"/>
    <tableColumn id="11" xr3:uid="{80BBE633-B8A2-1643-8A59-5FF47AFA4427}" uniqueName="11" name="Aspiranten korps 1" totalsRowFunction="sum" queryTableFieldId="929"/>
    <tableColumn id="12" xr3:uid="{946D1169-1E4B-704B-9B8A-6C011CFC4E17}" uniqueName="12" name="Aspiranten korps 2" totalsRowFunction="sum" queryTableFieldId="930"/>
    <tableColumn id="13" xr3:uid="{2E0D69D4-78F7-6047-9D7E-D0F281295E5D}" uniqueName="13" name="Acrobatisch senioren" totalsRowFunction="sum" queryTableFieldId="931"/>
    <tableColumn id="14" xr3:uid="{A24836CF-D353-984A-939F-96BD33609662}" uniqueName="14" name="Acrobatisch junioren" totalsRowFunction="sum" queryTableFieldId="932"/>
    <tableColumn id="15" xr3:uid="{BFC3832B-5B5F-6840-9F5D-753758AD9DA6}" uniqueName="15" name="Acrobatisch aspiranten" totalsRowFunction="sum" queryTableFieldId="933"/>
    <tableColumn id="16" xr3:uid="{AA8CE63E-8135-134A-A0DD-849FE53FB472}" uniqueName="16" name="Opgeven vendeliers ind." totalsRowFunction="sum" queryTableFieldId="934"/>
    <tableColumn id="607" xr3:uid="{C45FC54F-AE1B-A24B-B354-B190B7FBDDDA}" uniqueName="607" name="Acrob. senioren indiv." totalsRowFunction="sum" queryTableFieldId="607"/>
    <tableColumn id="608" xr3:uid="{D685E59B-73DD-D547-AFEB-4B86213DFDE2}" uniqueName="608" name="Acrob. junioren indiv." totalsRowFunction="sum" queryTableFieldId="608"/>
    <tableColumn id="609" xr3:uid="{EAAC1EAB-697C-6D4C-A1C8-60224F435E22}" uniqueName="609" name="Acrob. aspiranten indiv." totalsRowFunction="sum" queryTableFieldId="609"/>
    <tableColumn id="145" xr3:uid="{1BD11674-3606-264C-AE37-821A3D1DF80F}" uniqueName="145" name="Deelname hoofdkorps" totalsRowFunction="custom" queryTableFieldId="145" totalsRowDxfId="279">
      <totalsRowFormula>COUNTIF(KDM[Deelname hoofdkorps], "x")</totalsRowFormula>
    </tableColumn>
    <tableColumn id="18" xr3:uid="{25334551-94E0-E847-960D-DF36507F9989}" uniqueName="18" name="Groepen, teams, ensembles en duo's" totalsRowFunction="sum" queryTableFieldId="936"/>
    <tableColumn id="24" xr3:uid="{E5360D65-8ABD-BF46-A62D-029578A979CA}" uniqueName="24" name="Aantal opgegeven majorettes" totalsRowFunction="sum" queryTableFieldId="959"/>
    <tableColumn id="17" xr3:uid="{405ED8FC-24B2-F04D-B81A-E150844DC4F2}" uniqueName="17" name="Opgeven bielemannen" totalsRowFunction="sum" queryTableFieldId="935"/>
    <tableColumn id="670" xr3:uid="{29F7251D-C75E-6745-9D38-015CE6E9B59A}" uniqueName="670" name="Senioren" totalsRowFunction="sum" queryTableFieldId="670"/>
    <tableColumn id="671" xr3:uid="{FAFC8897-29B9-AC4B-9E23-68ED890433D1}" uniqueName="671" name="Jong Volwassene" totalsRowFunction="sum" queryTableFieldId="671"/>
    <tableColumn id="672" xr3:uid="{F892C7F3-E9C2-D24D-9524-571486254EBD}" uniqueName="672" name="Junioren" totalsRowFunction="sum" queryTableFieldId="672"/>
    <tableColumn id="673" xr3:uid="{C100B334-D267-4142-94B3-9C6BFE71C865}" uniqueName="673" name="Aspiranten" totalsRowFunction="sum" queryTableFieldId="673"/>
    <tableColumn id="41" xr3:uid="{DE312B1E-B1A0-1E4A-A3A8-9EB57B894C29}" uniqueName="41" name="Deelname marketentsters" queryTableFieldId="41"/>
    <tableColumn id="518" xr3:uid="{3304F250-D370-5A4D-9AAB-04D88EC3516D}" uniqueName="518" name="Aantal luchtgeweerschutters" totalsRowFunction="sum" queryTableFieldId="518"/>
    <tableColumn id="519" xr3:uid="{EBA9A45B-85E7-BD4C-B23D-6ED6017E35E3}" uniqueName="519" name="Aantal luchtpistoolschutters" totalsRowFunction="sum" queryTableFieldId="519"/>
    <tableColumn id="520" xr3:uid="{43D1C4F5-C860-F140-A0BE-052B980BEC93}" uniqueName="520" name="Aantal handboogschutters" totalsRowFunction="sum" queryTableFieldId="520"/>
    <tableColumn id="521" xr3:uid="{93C217C3-826C-454F-9C49-D13EC221818D}" uniqueName="521" name="Aantal kruisboogschutters" totalsRowFunction="sum" queryTableFieldId="521"/>
    <tableColumn id="25" xr3:uid="{2F5F7D40-E9D4-9A4F-B934-9910CC9DB957}" uniqueName="25" name="(Aantal jeugdkorpsen" totalsRowFunction="sum" queryTableFieldId="960"/>
    <tableColumn id="559" xr3:uid="{786226BB-95E3-734F-8E0F-B3778C1423E3}" uniqueName="559" name="Totaal aantal deelnemers" totalsRowFunction="sum" queryTableFieldId="559"/>
    <tableColumn id="560" xr3:uid="{124EEF47-0C9A-3844-AF8D-08A8CFB2DB5F}" uniqueName="560" name="Waarvan aantal jeugd (t/m 15 jaar)" totalsRowFunction="sum" queryTableFieldId="560"/>
    <tableColumn id="28" xr3:uid="{637FE9F9-8571-A94B-9032-0B778B0DB565}" uniqueName="28" name="Kanon etc." queryTableFieldId="961"/>
    <tableColumn id="29" xr3:uid="{85ABE1E0-EC52-7F49-AC77-202BEEF070A6}" uniqueName="29" name="Paarden en/of koetsen" queryTableFieldId="962"/>
    <tableColumn id="563" xr3:uid="{D9D5C034-C51B-C94D-81C6-F5769E62C5CC}" uniqueName="563" name="Toelichting/opmerkingen" queryTableFieldId="563" dataDxfId="274" totalsRowDxfId="280"/>
    <tableColumn id="1" xr3:uid="{86A601A6-BCDB-1E47-8853-16BA267A32AE}" uniqueName="1" name="Inzending-ID" queryTableFieldId="1"/>
    <tableColumn id="2" xr3:uid="{3EF35081-038E-7842-A7EB-7CA8FF2C5936}" uniqueName="2" name="Inzenddatum" queryTableFieldId="2" dataDxfId="273"/>
    <tableColumn id="3" xr3:uid="{93D98E57-C19F-2547-804F-14D6B52FB846}" uniqueName="3" name="Date Updated" queryTableFieldId="3" dataDxfId="272"/>
    <tableColumn id="147" xr3:uid="{2881D365-9AAB-D942-8B97-C76B54ABA67B}" uniqueName="147" name="Naam van het hoofdkorps" queryTableFieldId="147"/>
    <tableColumn id="148" xr3:uid="{1E45FA26-86EB-0841-9FE0-BCD6BAD03C38}" uniqueName="148" name="Zal op treden als (hoofdkorps)" queryTableFieldId="148"/>
    <tableColumn id="149" xr3:uid="{DA47EB53-0E8A-3941-BB12-0207DD819F8C}" uniqueName="149" name="Vorm van twee muziekwerken (hoofdkorps)" queryTableFieldId="149"/>
    <tableColumn id="150" xr3:uid="{50EEC848-5739-C945-BF70-EB16B88581B1}" uniqueName="150" name="Zal uitkomen in de: (hoofdkorps)" queryTableFieldId="150"/>
    <tableColumn id="151" xr3:uid="{5A928DC3-FF21-5641-95A4-57CF223798AE}" uniqueName="151" name="Muziekwerk1 (hoofdkorps)" queryTableFieldId="151"/>
    <tableColumn id="152" xr3:uid="{64D7FF74-C45D-6249-A9E9-3ED0B471F296}" uniqueName="152" name="Muziekwerk2 (hoofdkorps)" queryTableFieldId="152"/>
    <tableColumn id="153" xr3:uid="{24F10D9C-5E96-B84C-9C67-B4BD893312E9}" uniqueName="153" name="Korps bestaat uit ... deelnemers (hoofdkorps)" queryTableFieldId="153"/>
    <tableColumn id="326" xr3:uid="{4EA1C357-943B-F043-B764-A96962B0F28A}" uniqueName="326" name="Wordt er gebruik gemaakt van mechanische muziek?" queryTableFieldId="326"/>
    <tableColumn id="19" xr3:uid="{CDEBD0DD-12B6-0A47-9AD3-C71F4D1430B1}" uniqueName="19" name="Onderdelen" queryTableFieldId="937"/>
    <tableColumn id="20" xr3:uid="{1D1B4D98-4291-1941-A5DE-DEA721C05F86}" uniqueName="20" name="Secties" queryTableFieldId="938"/>
    <tableColumn id="21" xr3:uid="{99DCDCC7-E09B-5F4F-BCE6-5921ACC15EB4}" uniqueName="21" name="Leeftijdscategorie" queryTableFieldId="939"/>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B5DD99D-2F07-4FE5-B31E-FFC68007A593}" name="KDRvNB" displayName="KDRvNB" ref="A6:BA19" tableType="queryTable" totalsRowCount="1" headerRowDxfId="409" dataDxfId="408" totalsRowDxfId="407" headerRowCellStyle="Goed">
  <autoFilter ref="A6:BA18" xr:uid="{7B5DD99D-2F07-4FE5-B31E-FFC68007A593}"/>
  <tableColumns count="53">
    <tableColumn id="1" xr3:uid="{B42082E0-74DB-4949-8E35-E9A859804A26}" uniqueName="1" name="Kringdag" totalsRowLabel="Totaal" queryTableFieldId="1"/>
    <tableColumn id="2" xr3:uid="{18A94B89-1A02-2840-A7F2-F80C20C982E9}" uniqueName="2" name="Ver.nr." queryTableFieldId="114"/>
    <tableColumn id="3" xr3:uid="{D5B235C5-C286-495E-BCBA-47745390A66E}" uniqueName="3" name="Naam vereniging" totalsRowFunction="count" queryTableFieldId="3"/>
    <tableColumn id="4" xr3:uid="{FC31E2DE-14C2-4E55-85F8-E0109E214D05}" uniqueName="4" name="Delegatie" totalsRowFunction="custom" queryTableFieldId="4" dataDxfId="230" totalsRowDxfId="231">
      <totalsRowFormula>COUNTIF(KDRvNB[Delegatie],"x")</totalsRowFormula>
    </tableColumn>
    <tableColumn id="5" xr3:uid="{E611D357-4251-9745-B9F1-C499F4A1F7AE}" uniqueName="5" name="Muziekkorps tijdens mars en defilé" totalsRowFunction="custom" queryTableFieldId="115" totalsRowDxfId="232">
      <totalsRowFormula>COUNTIF(KDRvNB[Muziekkorps tijdens mars en defilé],"x")</totalsRowFormula>
    </tableColumn>
    <tableColumn id="6" xr3:uid="{03F59FBA-6F99-3D46-BBC3-DFB609BE7DA4}" uniqueName="6" name="Deelname jeugdkoningschieten" totalsRowFunction="custom" queryTableFieldId="116" totalsRowDxfId="233">
      <totalsRowFormula>COUNTIF(KDRvNB[Deelname jeugdkoningschieten],"x")</totalsRowFormula>
    </tableColumn>
    <tableColumn id="7" xr3:uid="{39C00582-4386-4EEA-B883-3387D078164A}" uniqueName="7" name="Maj. Senioren jureren bij mars" totalsRowFunction="custom" queryTableFieldId="7" dataDxfId="229" totalsRowDxfId="234">
      <totalsRowFormula>COUNTIF(KDRvNB[Maj. Senioren jureren bij mars],"x")</totalsRowFormula>
    </tableColumn>
    <tableColumn id="8" xr3:uid="{4E9FA65C-BE60-48DA-B279-01D2C843F0E0}" uniqueName="8" name="Maj. Jeugd jureren bij mars" totalsRowFunction="custom" queryTableFieldId="8" dataDxfId="228" totalsRowDxfId="235">
      <totalsRowFormula>COUNTIF(KDRvNB[Maj. Jeugd jureren bij mars],"x")</totalsRowFormula>
    </tableColumn>
    <tableColumn id="9" xr3:uid="{EFA0D6B1-D99C-40A9-86CF-608DA41F1972}" uniqueName="9" name="Korps senioren" totalsRowFunction="sum" queryTableFieldId="9" dataDxfId="227" totalsRowDxfId="236"/>
    <tableColumn id="10" xr3:uid="{632564B9-80BF-4EE0-AD7D-B7AD5B403386}" uniqueName="10" name="Junioren korps 1" totalsRowFunction="sum" queryTableFieldId="106" totalsRowDxfId="237"/>
    <tableColumn id="11" xr3:uid="{2BBE822F-4082-4C0F-89C6-E3899B434027}" uniqueName="11" name="Junioren korps 2" totalsRowFunction="sum" queryTableFieldId="107" totalsRowDxfId="238"/>
    <tableColumn id="26" xr3:uid="{D49E85C0-A527-4F96-8273-342DE4E6468D}" uniqueName="26" name="Aspiranten korps 1" totalsRowFunction="sum" queryTableFieldId="108" totalsRowDxfId="239"/>
    <tableColumn id="30" xr3:uid="{D5CC78F7-E3D4-4BA1-8F91-7CAFE6279E9C}" uniqueName="30" name="Aspiranten korps 2" totalsRowFunction="sum" queryTableFieldId="109" totalsRowDxfId="240"/>
    <tableColumn id="12" xr3:uid="{70A20D86-F728-446F-9730-5B328A909B16}" uniqueName="12" name="Acrobatisch senioren" totalsRowFunction="sum" queryTableFieldId="12" dataDxfId="226" totalsRowDxfId="241"/>
    <tableColumn id="13" xr3:uid="{9E02CCEF-987E-4D1E-9F70-0FFFD16E0DCB}" uniqueName="13" name="Acrobatisch junioren" totalsRowFunction="sum" queryTableFieldId="13" dataDxfId="225" totalsRowDxfId="242"/>
    <tableColumn id="14" xr3:uid="{3AFD9C15-E86E-4AD5-AFA3-9A2B7390A6E8}" uniqueName="14" name="Acrobatisch aspiranten" totalsRowFunction="sum" queryTableFieldId="14" dataDxfId="224" totalsRowDxfId="243"/>
    <tableColumn id="15" xr3:uid="{AD444497-9BF6-394C-95D9-7C5D9BF716ED}" uniqueName="15" name="Opgeven vendeliers ind." totalsRowFunction="sum" queryTableFieldId="117"/>
    <tableColumn id="16" xr3:uid="{0F00C7DD-53DA-B64E-BB0C-2A2B4E1E879D}" uniqueName="16" name="Acrob. senioren indiv." totalsRowFunction="sum" queryTableFieldId="118"/>
    <tableColumn id="17" xr3:uid="{F9EEFB12-395A-554B-B74F-DCFDFA0FD1F7}" uniqueName="17" name="Acrob. junioren indiv." totalsRowFunction="sum" queryTableFieldId="119"/>
    <tableColumn id="18" xr3:uid="{A3555F43-F597-3140-84D9-D4C25485942D}" uniqueName="18" name="Acrob. aspiranten indiv." totalsRowFunction="sum" queryTableFieldId="120"/>
    <tableColumn id="19" xr3:uid="{0350733D-0A46-8048-ACFE-BA2E725EA3FE}" uniqueName="19" name="Deelname hoofdkorps" totalsRowFunction="custom" queryTableFieldId="121" totalsRowDxfId="244">
      <totalsRowFormula>COUNTIF(KDRvNB[Deelname hoofdkorps],"x")</totalsRowFormula>
    </tableColumn>
    <tableColumn id="31" xr3:uid="{73BAC8BE-23F3-4460-B518-ADAFDEB40510}" uniqueName="31" name="Groepen, teams, ensembles en duo's" totalsRowFunction="sum" queryTableFieldId="74" totalsRowDxfId="245"/>
    <tableColumn id="70" xr3:uid="{7CBECFE5-28C8-4F6D-94C3-BF35CCED0979}" uniqueName="70" name="Aantal opgegeven majorettes" totalsRowFunction="sum" queryTableFieldId="70" dataDxfId="223" totalsRowDxfId="246"/>
    <tableColumn id="20" xr3:uid="{B8FAAB63-5649-014A-889E-62290ECA3E65}" uniqueName="20" name="Opgeven bielemannen" totalsRowFunction="sum" queryTableFieldId="122"/>
    <tableColumn id="27" xr3:uid="{82F0E3A4-A915-4065-9F2F-7E6CB47AC3D0}" uniqueName="27" name="Senioren" totalsRowFunction="sum" queryTableFieldId="27" dataDxfId="222" totalsRowDxfId="247"/>
    <tableColumn id="32" xr3:uid="{CF885C7D-918D-4FFB-8613-DC71A36CDBE4}" uniqueName="32" name="Jong Volwassene" totalsRowFunction="sum" queryTableFieldId="75" totalsRowDxfId="248"/>
    <tableColumn id="28" xr3:uid="{E85FE71A-C8E3-445C-95F4-06AF9F082A44}" uniqueName="28" name="Junioren" totalsRowFunction="sum" queryTableFieldId="28" dataDxfId="221" totalsRowDxfId="249"/>
    <tableColumn id="29" xr3:uid="{011E5AFC-E767-45D2-BF94-FB0AA9C85AEF}" uniqueName="29" name="Aspiranten" totalsRowFunction="sum" queryTableFieldId="29" dataDxfId="220" totalsRowDxfId="250"/>
    <tableColumn id="21" xr3:uid="{A7848624-6281-254B-9F3F-05929727D89B}" uniqueName="21" name="Deelname marketentsters" totalsRowFunction="custom" queryTableFieldId="123" totalsRowDxfId="251">
      <totalsRowFormula>COUNTIF(KDRvNB[Deelname marketentsters],"x")</totalsRowFormula>
    </tableColumn>
    <tableColumn id="42" xr3:uid="{24F13D70-9263-4DDF-A235-FD6B8B26266A}" uniqueName="42" name="Aantal luchtgeweerschutters" totalsRowFunction="sum" queryTableFieldId="80"/>
    <tableColumn id="43" xr3:uid="{C393A973-FD8D-4A10-982E-E97F1A805E28}" uniqueName="43" name="Aantal luchtpistoolschutters" totalsRowFunction="sum" queryTableFieldId="81" totalsRowDxfId="252"/>
    <tableColumn id="44" xr3:uid="{E6F794C2-3817-417C-8810-8334633C414B}" uniqueName="44" name="Aantal handboogschutters" totalsRowFunction="sum" queryTableFieldId="82"/>
    <tableColumn id="71" xr3:uid="{03EB338E-F00D-40E8-907E-B97BDC6559CA}" uniqueName="71" name="Aantal kruisboogschutters" totalsRowFunction="sum" queryTableFieldId="83" totalsRowDxfId="253"/>
    <tableColumn id="22" xr3:uid="{11D07504-32C0-4445-A2A0-F474FCA54A8E}" uniqueName="22" name="(Aantal jeugdkorpsen" totalsRowFunction="sum" queryTableFieldId="124"/>
    <tableColumn id="45" xr3:uid="{2E0BDF72-C038-43B2-B6CF-DFB9D6093FA3}" uniqueName="45" name="Totaal aantal deelnemers" totalsRowFunction="sum" queryTableFieldId="45" dataDxfId="219" totalsRowDxfId="254"/>
    <tableColumn id="46" xr3:uid="{5E1BF68D-462C-409C-978D-1318A9143282}" uniqueName="46" name="Waarvan aantal jeugd (t/m 15 jaar)" totalsRowFunction="sum" queryTableFieldId="46" dataDxfId="218" totalsRowDxfId="255"/>
    <tableColumn id="47" xr3:uid="{8A13F570-A52A-4AD2-BC9A-520454870C49}" uniqueName="47" name="Kanon etc." totalsRowFunction="custom" queryTableFieldId="47" totalsRowDxfId="256">
      <totalsRowFormula>COUNTIF(KDRvNB[Kanon etc.],"x")</totalsRowFormula>
    </tableColumn>
    <tableColumn id="48" xr3:uid="{0444CE5A-A537-4AA1-A567-0413645D4AE8}" uniqueName="48" name="Paarden en/of koetsen" totalsRowFunction="custom" queryTableFieldId="48" totalsRowDxfId="257">
      <totalsRowFormula>COUNTIF(KDRvNB[Paarden en/of koetsen],"x")</totalsRowFormula>
    </tableColumn>
    <tableColumn id="49" xr3:uid="{E6CD3893-5116-41A8-997A-AC4CE71AB4D7}" uniqueName="49" name="Toelichting/opmerkingen" queryTableFieldId="49" dataDxfId="217" totalsRowDxfId="258"/>
    <tableColumn id="50" xr3:uid="{D30A42E9-05F3-4D27-AADE-91D7208D65F3}" uniqueName="50" name="Inzending-ID" queryTableFieldId="50" totalsRowDxfId="259"/>
    <tableColumn id="51" xr3:uid="{994F13E0-9F42-4EC0-9C25-32468DC3D4EF}" uniqueName="51" name="Inzenddatum" queryTableFieldId="51" dataDxfId="216" totalsRowDxfId="260"/>
    <tableColumn id="75" xr3:uid="{AACADDA0-B957-4C95-BC88-FFD64633A5C3}" uniqueName="75" name="Date Updated" queryTableFieldId="87" dataDxfId="215" totalsRowDxfId="261"/>
    <tableColumn id="52" xr3:uid="{536E9C37-AE5D-4771-B866-84F7EFC28977}" uniqueName="52" name="Naam van het hoofdkorps" queryTableFieldId="52" totalsRowDxfId="262"/>
    <tableColumn id="53" xr3:uid="{22E584B9-D500-41BB-8BF2-C5EC64BA4A42}" uniqueName="53" name="Zal op treden als (hoofdkorps)" queryTableFieldId="53" totalsRowDxfId="263"/>
    <tableColumn id="54" xr3:uid="{61D13E15-1C39-4998-AA76-3572993DA605}" uniqueName="54" name="Vorm van twee muziekwerken (hoofdkorps)" queryTableFieldId="54" totalsRowDxfId="264"/>
    <tableColumn id="55" xr3:uid="{94ED26B9-C100-4987-8FE7-275434ADD182}" uniqueName="55" name="Zal uitkomen in de: (hoofdkorps)" queryTableFieldId="55" totalsRowDxfId="265"/>
    <tableColumn id="56" xr3:uid="{04D6D9F4-11A1-4E44-A1CE-1D67D85CBCD9}" uniqueName="56" name="Muziekwerk1 (hoofdkorps)" queryTableFieldId="56" totalsRowDxfId="266"/>
    <tableColumn id="57" xr3:uid="{1FCC70C9-1F01-4EE9-9783-A3F86B50143B}" uniqueName="57" name="Muziekwerk2 (hoofdkorps)" queryTableFieldId="57" totalsRowDxfId="267"/>
    <tableColumn id="58" xr3:uid="{4059FC07-4172-4C8D-8C7E-169B90488A40}" uniqueName="58" name="Korps bestaat uit ... deelnemers (hoofdkorps)" totalsRowFunction="sum" queryTableFieldId="58" totalsRowDxfId="268"/>
    <tableColumn id="23" xr3:uid="{90CDE2FF-4A7E-A947-8FC0-AFB659BC25EF}" uniqueName="23" name="Wordt er gebruik gemaakt van mechanische muziek?" queryTableFieldId="125"/>
    <tableColumn id="66" xr3:uid="{A258ECB5-EA42-47A3-9965-66B4540827F3}" uniqueName="66" name="Onderdelen" queryTableFieldId="66" dataDxfId="214" totalsRowDxfId="269"/>
    <tableColumn id="67" xr3:uid="{276716A1-6C96-4B1C-ABEA-171ACB050A77}" uniqueName="67" name="Secties" queryTableFieldId="67" dataDxfId="213" totalsRowDxfId="270"/>
    <tableColumn id="68" xr3:uid="{07574B23-6B09-4583-80FD-023D2E8ACABE}" uniqueName="68" name="Leeftijdscategorie" queryTableFieldId="68" dataDxfId="212" totalsRowDxfId="271"/>
  </tableColumns>
  <tableStyleInfo name="TableStyleMedium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2380FAE-78F6-5A4E-A1F6-FF7C02893260}" name="KDL" displayName="KDL" ref="A5:BA22" tableType="queryTable" totalsRowCount="1" headerRowDxfId="406" totalsRowDxfId="405" headerRowCellStyle="Goed">
  <autoFilter ref="A5:BA21" xr:uid="{92380FAE-78F6-5A4E-A1F6-FF7C02893260}">
    <filterColumn colId="3">
      <customFilters>
        <customFilter operator="notEqual" val=" "/>
      </customFilters>
    </filterColumn>
  </autoFilter>
  <tableColumns count="53">
    <tableColumn id="1" xr3:uid="{2EBFBDB1-98E8-EF43-B479-CBB9BDAE4C7C}" uniqueName="1" name="Kringdag" totalsRowLabel="Totaal" queryTableFieldId="1" dataDxfId="404"/>
    <tableColumn id="2" xr3:uid="{DE0D87AD-8990-454F-A9CB-2F22C54F5A74}" uniqueName="2" name="Ver.nr." queryTableFieldId="2" dataDxfId="403"/>
    <tableColumn id="3" xr3:uid="{848ABCDC-959E-9E40-B427-ECC3B21354E8}" uniqueName="3" name="Naam vereniging" totalsRowFunction="count" queryTableFieldId="3" dataDxfId="402"/>
    <tableColumn id="4" xr3:uid="{E353D206-A41D-FA4C-983A-16D74BB8FEC7}" uniqueName="4" name="Delegatie" totalsRowFunction="custom" queryTableFieldId="4" dataDxfId="401" totalsRowDxfId="171">
      <totalsRowFormula>COUNTIF(KDL[Delegatie],"x")</totalsRowFormula>
    </tableColumn>
    <tableColumn id="5" xr3:uid="{0D0B301B-F12E-DF49-A0BA-9261AD89936A}" uniqueName="5" name="Muziekkorps tijdens mars en defilé" totalsRowFunction="custom" queryTableFieldId="5" dataDxfId="400" totalsRowDxfId="172">
      <totalsRowFormula>COUNTIF(KDL[Muziekkorps tijdens mars en defilé],"x")</totalsRowFormula>
    </tableColumn>
    <tableColumn id="6" xr3:uid="{49D7B4AB-FE3C-0C46-A75A-65670DD19A50}" uniqueName="6" name="Deelname jeugdkoningschieten" totalsRowFunction="custom" queryTableFieldId="6" dataDxfId="399" totalsRowDxfId="173">
      <totalsRowFormula>COUNTIF(KDL[Deelname jeugdkoningschieten],"x")</totalsRowFormula>
    </tableColumn>
    <tableColumn id="7" xr3:uid="{1A40A63C-67CE-384A-A1CB-B44C53B7CC49}" uniqueName="7" name="Maj. Senioren jureren bij mars" totalsRowFunction="custom" queryTableFieldId="7" dataDxfId="398" totalsRowDxfId="174">
      <totalsRowFormula>COUNTIF(KDL[Maj. Senioren jureren bij mars],"x")</totalsRowFormula>
    </tableColumn>
    <tableColumn id="8" xr3:uid="{645A23DD-BAF3-0840-AA16-2B3E079E3FB2}" uniqueName="8" name="Maj. Jeugd jureren bij mars" totalsRowFunction="custom" queryTableFieldId="8" dataDxfId="397" totalsRowDxfId="175">
      <totalsRowFormula>COUNTIF(KDL[Maj. Jeugd jureren bij mars],"x")</totalsRowFormula>
    </tableColumn>
    <tableColumn id="9" xr3:uid="{A5336926-4DF9-3D40-B974-FB67539C70E9}" uniqueName="9" name="Korps senioren" totalsRowFunction="sum" queryTableFieldId="9" totalsRowDxfId="176"/>
    <tableColumn id="10" xr3:uid="{10960B20-20E6-0746-9A08-F28DB9FF5FBF}" uniqueName="10" name="Junioren korps 1" totalsRowFunction="sum" queryTableFieldId="10" totalsRowDxfId="177"/>
    <tableColumn id="11" xr3:uid="{671D4BC5-58B0-064F-80C2-2AF1EBAB3FC5}" uniqueName="11" name="Junioren korps 2" totalsRowFunction="sum" queryTableFieldId="11" totalsRowDxfId="178"/>
    <tableColumn id="12" xr3:uid="{E8C04109-F8C1-2546-865B-E353C9C505B5}" uniqueName="12" name="Aspiranten korps 1" totalsRowFunction="sum" queryTableFieldId="12" totalsRowDxfId="179"/>
    <tableColumn id="13" xr3:uid="{0E731F20-505B-E64C-82BF-607F86D1A75B}" uniqueName="13" name="Aspiranten korps 2" totalsRowFunction="sum" queryTableFieldId="13" totalsRowDxfId="180"/>
    <tableColumn id="14" xr3:uid="{16AD7862-2257-6B47-80F5-2A5416504E4E}" uniqueName="14" name="Acrobatisch senioren" totalsRowFunction="sum" queryTableFieldId="14" totalsRowDxfId="181"/>
    <tableColumn id="15" xr3:uid="{1968A574-8AE1-0447-9563-15205870752E}" uniqueName="15" name="Acrobatisch junioren" totalsRowFunction="sum" queryTableFieldId="15" totalsRowDxfId="182"/>
    <tableColumn id="16" xr3:uid="{4B579A46-4F8A-BA41-A542-41D1F7E1CF3D}" uniqueName="16" name="Acrobatisch aspiranten" totalsRowFunction="sum" queryTableFieldId="16" totalsRowDxfId="183"/>
    <tableColumn id="17" xr3:uid="{532026FA-D216-BB40-8020-C3DD3938A4D3}" uniqueName="17" name="Opgeven vendeliers ind." totalsRowFunction="sum" queryTableFieldId="17"/>
    <tableColumn id="18" xr3:uid="{C192FD35-7364-9C4A-8EEF-7845450DF4DF}" uniqueName="18" name="Acrob. senioren indiv." totalsRowFunction="sum" queryTableFieldId="18"/>
    <tableColumn id="19" xr3:uid="{C5D825C6-A199-3147-8B54-721E42034954}" uniqueName="19" name="Acrob. junioren indiv." totalsRowFunction="sum" queryTableFieldId="19"/>
    <tableColumn id="20" xr3:uid="{83ABA2E7-6817-9B49-80AB-2B9CF96E9721}" uniqueName="20" name="Acrob. aspiranten indiv." totalsRowFunction="sum" queryTableFieldId="20"/>
    <tableColumn id="21" xr3:uid="{52611CCE-D793-3844-9DC0-9FE859A856AC}" uniqueName="21" name="Deelname hoofdkorps" totalsRowFunction="custom" queryTableFieldId="21" dataDxfId="396" totalsRowDxfId="184">
      <totalsRowFormula>COUNTIF(KDL[Deelname hoofdkorps],"x")</totalsRowFormula>
    </tableColumn>
    <tableColumn id="22" xr3:uid="{CA623AB1-E553-1348-BD93-CF19CD58D0FF}" uniqueName="22" name="Groepen, teams, ensembles en duo's" totalsRowFunction="sum" queryTableFieldId="22" totalsRowDxfId="185"/>
    <tableColumn id="23" xr3:uid="{023B22F1-081B-DB49-AF86-960F40249E83}" uniqueName="23" name="Aantal opgegeven majorettes" totalsRowFunction="sum" queryTableFieldId="23" totalsRowDxfId="186"/>
    <tableColumn id="24" xr3:uid="{70BA14D9-59EA-0546-B2F5-0B5C6EACEB46}" uniqueName="24" name="Opgeven bielemannen" totalsRowFunction="sum" queryTableFieldId="24"/>
    <tableColumn id="25" xr3:uid="{BA6E0BCC-9826-E040-87DE-35ABED6AB561}" uniqueName="25" name="Senioren" totalsRowFunction="sum" queryTableFieldId="25" totalsRowDxfId="187"/>
    <tableColumn id="26" xr3:uid="{B4308CF8-60EC-3D49-9839-BABE54FCA4A7}" uniqueName="26" name="Jong Volwassene" totalsRowFunction="sum" queryTableFieldId="26" totalsRowDxfId="188"/>
    <tableColumn id="27" xr3:uid="{7CFA199E-2BDE-AF48-9AEC-17B4160A5150}" uniqueName="27" name="Junioren" totalsRowFunction="sum" queryTableFieldId="27" totalsRowDxfId="189"/>
    <tableColumn id="28" xr3:uid="{C91D2C87-BCDB-9544-A5C2-A796C338EB77}" uniqueName="28" name="Aspiranten" totalsRowFunction="sum" queryTableFieldId="28" totalsRowDxfId="190"/>
    <tableColumn id="29" xr3:uid="{63FCAA89-24D7-CF44-A50A-208A3D15C9F9}" uniqueName="29" name="Deelname marketentsters" totalsRowFunction="custom" queryTableFieldId="29" dataDxfId="395" totalsRowDxfId="191">
      <totalsRowFormula>COUNTIF(KDL[Deelname marketentsters],"x")</totalsRowFormula>
    </tableColumn>
    <tableColumn id="30" xr3:uid="{B220A6AE-523E-0447-9CF0-720D769235CD}" uniqueName="30" name="Aantal luchtgeweerschutters" totalsRowFunction="sum" queryTableFieldId="30"/>
    <tableColumn id="31" xr3:uid="{0399640E-9629-EB4B-9D52-9968354381CD}" uniqueName="31" name="Aantal luchtpistoolschutters" totalsRowFunction="sum" queryTableFieldId="31" totalsRowDxfId="192"/>
    <tableColumn id="32" xr3:uid="{AC00BFFA-F82E-2B46-9794-F2BDFDB375BD}" uniqueName="32" name="Aantal handboogschutters" totalsRowFunction="sum" queryTableFieldId="32"/>
    <tableColumn id="33" xr3:uid="{421AEC43-0DE6-484C-AECB-D3BB1958F11F}" uniqueName="33" name="Aantal kruisboogschutters" totalsRowFunction="sum" queryTableFieldId="33" totalsRowDxfId="193"/>
    <tableColumn id="34" xr3:uid="{242B7E78-39A0-4944-9347-DB86B7870CD1}" uniqueName="34" name="(Aantal jeugdkorpsen" totalsRowFunction="sum" queryTableFieldId="34"/>
    <tableColumn id="35" xr3:uid="{EA600FFC-5A72-1446-9880-7264ADB7C9A4}" uniqueName="35" name="Totaal aantal deelnemers" totalsRowFunction="sum" queryTableFieldId="35" totalsRowDxfId="194"/>
    <tableColumn id="36" xr3:uid="{115AA628-B841-844F-877F-13C5DEE69FE8}" uniqueName="36" name="Waarvan aantal jeugd (t/m 15 jaar)" totalsRowFunction="sum" queryTableFieldId="36" totalsRowDxfId="195"/>
    <tableColumn id="37" xr3:uid="{B3FEC567-E1DE-1A47-9581-287D1E040778}" uniqueName="37" name="Kanon etc." totalsRowFunction="custom" queryTableFieldId="37" dataDxfId="394" totalsRowDxfId="196">
      <totalsRowFormula>COUNTIF(KDL[Kanon etc.],"x")</totalsRowFormula>
    </tableColumn>
    <tableColumn id="38" xr3:uid="{D0DB60BD-0E90-1F4B-8C9F-2FFED7E029F0}" uniqueName="38" name="Paarden en/of koetsen" totalsRowFunction="custom" queryTableFieldId="38" dataDxfId="393" totalsRowDxfId="197">
      <totalsRowFormula>COUNTIF(KDL[Paarden en/of koetsen],"x")</totalsRowFormula>
    </tableColumn>
    <tableColumn id="39" xr3:uid="{608FE60D-569F-6D4F-AC29-6ABC715ABC13}" uniqueName="39" name="Toelichting/opmerkingen" queryTableFieldId="39" dataDxfId="392" totalsRowDxfId="198"/>
    <tableColumn id="40" xr3:uid="{EF90FD9B-61CB-0849-A416-D9FB23C3CA83}" uniqueName="40" name="Inzending-ID" queryTableFieldId="40" dataDxfId="391" totalsRowDxfId="199"/>
    <tableColumn id="41" xr3:uid="{F59F9B89-D586-3E4B-9EA9-468EAAA663B4}" uniqueName="41" name="Inzenddatum" queryTableFieldId="41" dataDxfId="170" totalsRowDxfId="200"/>
    <tableColumn id="42" xr3:uid="{57559455-5998-C343-A5AA-59AC4FA81892}" uniqueName="42" name="Date Updated" queryTableFieldId="42" dataDxfId="169" totalsRowDxfId="201"/>
    <tableColumn id="43" xr3:uid="{2C3279B5-9269-0443-8AB7-480C019C3C91}" uniqueName="43" name="Naam van het hoofdkorps" queryTableFieldId="43" dataDxfId="390" totalsRowDxfId="202"/>
    <tableColumn id="44" xr3:uid="{1EC34B04-03D4-0F41-97D6-72D5E80F6817}" uniqueName="44" name="Zal op treden als (hoofdkorps)" queryTableFieldId="44" dataDxfId="389" totalsRowDxfId="203"/>
    <tableColumn id="45" xr3:uid="{8AF5301C-620F-A840-890D-9A8800BD5D15}" uniqueName="45" name="Vorm van twee muziekwerken (hoofdkorps)" queryTableFieldId="45" dataDxfId="388" totalsRowDxfId="204"/>
    <tableColumn id="46" xr3:uid="{A6962E68-12C6-0445-B131-CE6DBD887704}" uniqueName="46" name="Zal uitkomen in de: (hoofdkorps)" queryTableFieldId="46" dataDxfId="387" totalsRowDxfId="205"/>
    <tableColumn id="47" xr3:uid="{5DB06DA4-E7B9-1049-862A-814A68B19D47}" uniqueName="47" name="Muziekwerk1 (hoofdkorps)" queryTableFieldId="47" dataDxfId="386" totalsRowDxfId="206"/>
    <tableColumn id="48" xr3:uid="{B46C2976-F559-5248-93E8-5FE1B08855FB}" uniqueName="48" name="Muziekwerk2 (hoofdkorps)" queryTableFieldId="48" dataDxfId="385" totalsRowDxfId="207"/>
    <tableColumn id="49" xr3:uid="{F9BABF7E-54A2-924D-8B45-66A892BD7B06}" uniqueName="49" name="Korps bestaat uit ... deelnemers (hoofdkorps)" totalsRowFunction="sum" queryTableFieldId="49" totalsRowDxfId="208"/>
    <tableColumn id="50" xr3:uid="{24CBA3ED-56AF-F64E-AF36-8B5F61115866}" uniqueName="50" name="Wordt er gebruik gemaakt van mechanische muziek?" queryTableFieldId="50" dataDxfId="384"/>
    <tableColumn id="51" xr3:uid="{FA87FAF4-AE98-1B4B-A56F-784AE52BFD54}" uniqueName="51" name="Onderdelen" queryTableFieldId="51" dataDxfId="383" totalsRowDxfId="209"/>
    <tableColumn id="52" xr3:uid="{A550ABF4-D2FF-2946-B801-D59301BEB7C7}" uniqueName="52" name="Secties" queryTableFieldId="52" dataDxfId="382" totalsRowDxfId="210"/>
    <tableColumn id="53" xr3:uid="{70756A03-37F7-7C4A-8775-BABA9E8F35CB}" uniqueName="53" name="Leeftijdscategorie" queryTableFieldId="53" dataDxfId="381" totalsRowDxfId="211"/>
  </tableColumns>
  <tableStyleInfo name="TableStyleMedium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303BB8E-8791-9F47-B261-7A8685D80CA1}" name="KDA_" displayName="KDA_" ref="A5:BA27" tableType="queryTable" totalsRowCount="1">
  <autoFilter ref="A5:BA26" xr:uid="{1303BB8E-8791-9F47-B261-7A8685D80CA1}"/>
  <tableColumns count="53">
    <tableColumn id="1" xr3:uid="{334004EE-5733-8B45-8CF7-3DBE33F581F0}" uniqueName="1" name="Kringdag" totalsRowLabel="Totaal" queryTableFieldId="1" dataDxfId="380"/>
    <tableColumn id="2" xr3:uid="{5B03A175-F1A2-7C47-A9F2-C5D90490CA8A}" uniqueName="2" name="Ver.nr." queryTableFieldId="2" dataDxfId="379"/>
    <tableColumn id="3" xr3:uid="{CC87DF9A-5F72-CE49-A010-E445B029002C}" uniqueName="3" name="Naam vereniging" totalsRowFunction="count" queryTableFieldId="3" dataDxfId="378"/>
    <tableColumn id="4" xr3:uid="{7D8CE570-0862-974B-81A5-8F3AAE3C58FF}" uniqueName="4" name="Delegatie" totalsRowFunction="custom" queryTableFieldId="4" dataDxfId="377" totalsRowDxfId="128">
      <totalsRowFormula>COUNTIF(KDA_[Delegatie],"x")</totalsRowFormula>
    </tableColumn>
    <tableColumn id="5" xr3:uid="{20A2C9A0-E980-D541-A7A3-05C05A71B78C}" uniqueName="5" name="Muziekkorps tijdens mars en defilé" totalsRowFunction="custom" queryTableFieldId="5" dataDxfId="376" totalsRowDxfId="129">
      <totalsRowFormula>COUNTIF(KDA_[Muziekkorps tijdens mars en defilé],"x")</totalsRowFormula>
    </tableColumn>
    <tableColumn id="6" xr3:uid="{0D5BAB8B-8E75-1B4C-AB46-1770D1597C6A}" uniqueName="6" name="Deelname jeugdkoningschieten" totalsRowFunction="custom" queryTableFieldId="6" dataDxfId="375" totalsRowDxfId="130">
      <totalsRowFormula>COUNTIF(KDA_[Deelname jeugdkoningschieten],"x")</totalsRowFormula>
    </tableColumn>
    <tableColumn id="7" xr3:uid="{F1518E2E-DC8B-DC4B-8C92-D61A922D9EBC}" uniqueName="7" name="Maj. Senioren jureren bij mars" totalsRowFunction="custom" queryTableFieldId="7" dataDxfId="374" totalsRowDxfId="131">
      <totalsRowFormula>COUNTIF(KDA_[Maj. Senioren jureren bij mars],"x")</totalsRowFormula>
    </tableColumn>
    <tableColumn id="8" xr3:uid="{F62DA8D6-E312-DA47-9724-D72FFC5C083C}" uniqueName="8" name="Maj. Jeugd jureren bij mars" totalsRowFunction="custom" queryTableFieldId="8" dataDxfId="373" totalsRowDxfId="132">
      <totalsRowFormula>COUNTIF(KDA_[Maj. Jeugd jureren bij mars],"x")</totalsRowFormula>
    </tableColumn>
    <tableColumn id="9" xr3:uid="{F44F843C-B396-2F4B-97FB-61FE0FB7672B}" uniqueName="9" name="Korps senioren" totalsRowFunction="sum" queryTableFieldId="9" totalsRowDxfId="133"/>
    <tableColumn id="10" xr3:uid="{54D7E5DC-F027-5B41-A684-411282343626}" uniqueName="10" name="Junioren korps 1" totalsRowFunction="sum" queryTableFieldId="10" totalsRowDxfId="134"/>
    <tableColumn id="11" xr3:uid="{2C6FE650-6C03-E24A-AC42-3E28D8A7CB7C}" uniqueName="11" name="Junioren korps 2" totalsRowFunction="sum" queryTableFieldId="11" totalsRowDxfId="135"/>
    <tableColumn id="12" xr3:uid="{AB1C5F0B-04BA-BD4A-9C5B-C89E2653EB0A}" uniqueName="12" name="Aspiranten korps 1" totalsRowFunction="sum" queryTableFieldId="12" totalsRowDxfId="136"/>
    <tableColumn id="13" xr3:uid="{1E94E695-1335-CE4C-B154-16BA75F13BDC}" uniqueName="13" name="Aspiranten korps 2" totalsRowFunction="sum" queryTableFieldId="13" totalsRowDxfId="137"/>
    <tableColumn id="14" xr3:uid="{85F3B895-ADA2-AC4E-B0D9-0151BA6E4781}" uniqueName="14" name="Acrobatisch senioren" totalsRowFunction="sum" queryTableFieldId="14" totalsRowDxfId="138"/>
    <tableColumn id="15" xr3:uid="{25FB55FF-B130-3448-BB57-A43442CA0A84}" uniqueName="15" name="Acrobatisch junioren" totalsRowFunction="sum" queryTableFieldId="15" totalsRowDxfId="139"/>
    <tableColumn id="16" xr3:uid="{E64AE055-7316-314B-9B66-29972F76791F}" uniqueName="16" name="Acrobatisch aspiranten" totalsRowFunction="sum" queryTableFieldId="16" totalsRowDxfId="140"/>
    <tableColumn id="17" xr3:uid="{8C8A466B-C52A-4E4D-BC32-29699A9778AE}" uniqueName="17" name="Opgeven vendeliers ind." totalsRowFunction="sum" queryTableFieldId="17"/>
    <tableColumn id="18" xr3:uid="{161D36EE-A063-7B49-89E6-50F091F9E8BB}" uniqueName="18" name="Acrob. senioren indiv." totalsRowFunction="sum" queryTableFieldId="18"/>
    <tableColumn id="19" xr3:uid="{D528C573-DF32-014E-86F4-66C7DE3D026B}" uniqueName="19" name="Acrob. junioren indiv." totalsRowFunction="sum" queryTableFieldId="19"/>
    <tableColumn id="20" xr3:uid="{4D8E3D9D-2972-C846-9863-4572A2E4D306}" uniqueName="20" name="Acrob. aspiranten indiv." totalsRowFunction="sum" queryTableFieldId="20"/>
    <tableColumn id="21" xr3:uid="{B5CD6E00-FF3F-104F-A17E-6B67235FD41C}" uniqueName="21" name="Deelname hoofdkorps" totalsRowFunction="custom" queryTableFieldId="21" dataDxfId="372" totalsRowDxfId="141">
      <totalsRowFormula>COUNTIF(KDA_[Deelname hoofdkorps],"x")</totalsRowFormula>
    </tableColumn>
    <tableColumn id="22" xr3:uid="{5096435C-F233-7D4A-B748-F730DD9F351B}" uniqueName="22" name="Groepen, teams, ensembles en duo's" totalsRowFunction="sum" queryTableFieldId="22" totalsRowDxfId="142"/>
    <tableColumn id="23" xr3:uid="{62195266-D426-5745-B8D3-E245300F3BE0}" uniqueName="23" name="Aantal opgegeven majorettes" totalsRowFunction="sum" queryTableFieldId="23" totalsRowDxfId="143"/>
    <tableColumn id="24" xr3:uid="{F7121601-BE50-CB4F-A1C7-7375C05011F0}" uniqueName="24" name="Opgeven bielemannen" totalsRowFunction="sum" queryTableFieldId="24"/>
    <tableColumn id="25" xr3:uid="{D1957922-F7A0-064C-802F-12D1BC5AFDB5}" uniqueName="25" name="Senioren" totalsRowFunction="sum" queryTableFieldId="25" totalsRowDxfId="144"/>
    <tableColumn id="26" xr3:uid="{EFAFB2B1-C1A0-6D45-B9C6-15EF38527E3D}" uniqueName="26" name="Jong Volwassene" totalsRowFunction="sum" queryTableFieldId="26" totalsRowDxfId="145"/>
    <tableColumn id="27" xr3:uid="{40FB9A6B-69EB-FD4F-B26F-39264CBBECA4}" uniqueName="27" name="Junioren" totalsRowFunction="sum" queryTableFieldId="27" totalsRowDxfId="146"/>
    <tableColumn id="28" xr3:uid="{61BF9F4A-E028-1C43-8449-B8904123EF1E}" uniqueName="28" name="Aspiranten" totalsRowFunction="sum" queryTableFieldId="28" totalsRowDxfId="147"/>
    <tableColumn id="29" xr3:uid="{95A7E042-89AC-694E-A035-9A5CB08329D3}" uniqueName="29" name="Deelname marketentsters" totalsRowFunction="custom" queryTableFieldId="29" dataDxfId="371" totalsRowDxfId="148">
      <totalsRowFormula>COUNTIF(KDA_[Deelname marketentsters],"x")</totalsRowFormula>
    </tableColumn>
    <tableColumn id="30" xr3:uid="{A25893E3-3D5A-E248-8CDD-E8311905E3B8}" uniqueName="30" name="Aantal luchtgeweerschutters" totalsRowFunction="sum" queryTableFieldId="30"/>
    <tableColumn id="31" xr3:uid="{B872F7D3-A767-9C41-9222-8F5BFF73E5FA}" uniqueName="31" name="Aantal luchtpistoolschutters" totalsRowFunction="sum" queryTableFieldId="31" totalsRowDxfId="149"/>
    <tableColumn id="32" xr3:uid="{37C7B1F5-C623-0044-96C1-A5F154698575}" uniqueName="32" name="Aantal handboogschutters" totalsRowFunction="sum" queryTableFieldId="32"/>
    <tableColumn id="33" xr3:uid="{CB4DC5ED-24E6-E443-8E01-82F658BC11F3}" uniqueName="33" name="Aantal kruisboogschutters" totalsRowFunction="sum" queryTableFieldId="33" totalsRowDxfId="150"/>
    <tableColumn id="34" xr3:uid="{706CFD2E-8937-8E47-982C-F5877E0DEC1D}" uniqueName="34" name="(Aantal jeugdkorpsen" totalsRowFunction="sum" queryTableFieldId="34"/>
    <tableColumn id="35" xr3:uid="{AE5E7331-FA51-924A-B214-D081EABB665D}" uniqueName="35" name="Totaal aantal deelnemers" totalsRowFunction="sum" queryTableFieldId="35" totalsRowDxfId="151"/>
    <tableColumn id="36" xr3:uid="{14FF9E15-ECF1-024D-9C65-60771F7C75E8}" uniqueName="36" name="Waarvan aantal jeugd (t/m 15 jaar)" totalsRowFunction="sum" queryTableFieldId="36" totalsRowDxfId="152"/>
    <tableColumn id="37" xr3:uid="{2B97FC53-8FA8-4E4F-820C-74CCADF2A3DC}" uniqueName="37" name="Kanon etc." totalsRowFunction="custom" queryTableFieldId="37" dataDxfId="370" totalsRowDxfId="153">
      <totalsRowFormula>COUNTIF(KDA_[Kanon etc.],"x")</totalsRowFormula>
    </tableColumn>
    <tableColumn id="38" xr3:uid="{E2985193-334C-8F43-8AAC-FED4DDE209D2}" uniqueName="38" name="Paarden en/of koetsen" totalsRowFunction="custom" queryTableFieldId="38" dataDxfId="369" totalsRowDxfId="154">
      <totalsRowFormula>COUNTIF(KDA_[Paarden en/of koetsen],"x")</totalsRowFormula>
    </tableColumn>
    <tableColumn id="39" xr3:uid="{FB441331-C77B-AA41-824E-7FCF95AD7FC7}" uniqueName="39" name="Toelichting/opmerkingen" queryTableFieldId="39" dataDxfId="127" totalsRowDxfId="155"/>
    <tableColumn id="40" xr3:uid="{9471909F-6850-8745-B9B1-0C6541548179}" uniqueName="40" name="Inzending-ID" queryTableFieldId="40" dataDxfId="368" totalsRowDxfId="156"/>
    <tableColumn id="41" xr3:uid="{BBAB97B0-18C1-334E-80D9-9335F4EBA8F5}" uniqueName="41" name="Inzenddatum" queryTableFieldId="41" dataDxfId="126" totalsRowDxfId="157"/>
    <tableColumn id="42" xr3:uid="{5912372F-72FE-2B4B-94A9-B9646A4D9EB0}" uniqueName="42" name="Date Updated" queryTableFieldId="42" dataDxfId="125" totalsRowDxfId="158"/>
    <tableColumn id="43" xr3:uid="{565A60F7-D5B6-FB48-9279-944BF2ECD2C5}" uniqueName="43" name="Naam van het hoofdkorps" queryTableFieldId="43" dataDxfId="367" totalsRowDxfId="159"/>
    <tableColumn id="44" xr3:uid="{B3132973-D6F2-8D46-91BD-857F721D059E}" uniqueName="44" name="Zal op treden als (hoofdkorps)" queryTableFieldId="44" dataDxfId="366" totalsRowDxfId="160"/>
    <tableColumn id="45" xr3:uid="{56381B2C-A195-F442-9299-0199FB4D9567}" uniqueName="45" name="Vorm van twee muziekwerken (hoofdkorps)" queryTableFieldId="45" dataDxfId="365" totalsRowDxfId="161"/>
    <tableColumn id="46" xr3:uid="{09BD8D2E-6405-DF40-AC91-8BF0284B9A7F}" uniqueName="46" name="Zal uitkomen in de: (hoofdkorps)" queryTableFieldId="46" dataDxfId="364" totalsRowDxfId="162"/>
    <tableColumn id="67" xr3:uid="{879F1B8B-1F57-B643-B532-72791668DBE5}" uniqueName="67" name="Muziekwerk1 (hoofdkorps)" queryTableFieldId="67" dataDxfId="363" totalsRowDxfId="163"/>
    <tableColumn id="68" xr3:uid="{003D1664-4D99-C94E-8E22-6ED815B00C1B}" uniqueName="68" name="Muziekwerk2 (hoofdkorps)" queryTableFieldId="68" dataDxfId="362" totalsRowDxfId="164"/>
    <tableColumn id="69" xr3:uid="{8037AEA6-7651-0940-ADBA-3E35F955CAA6}" uniqueName="69" name="Korps bestaat uit ... deelnemers (hoofdkorps)" totalsRowFunction="sum" queryTableFieldId="69" totalsRowDxfId="165"/>
    <tableColumn id="70" xr3:uid="{87ABC2FA-75E7-FE49-B70B-6DA812E682A3}" uniqueName="70" name="Wordt er gebruik gemaakt van mechanische muziek?" queryTableFieldId="70" dataDxfId="361"/>
    <tableColumn id="71" xr3:uid="{550AA63C-7137-3643-85CC-F1834331F2F4}" uniqueName="71" name="Onderdelen" queryTableFieldId="71" dataDxfId="360" totalsRowDxfId="166"/>
    <tableColumn id="72" xr3:uid="{A7813487-AA6B-1241-B3B8-4566059457DB}" uniqueName="72" name="Secties" queryTableFieldId="72" dataDxfId="359" totalsRowDxfId="167"/>
    <tableColumn id="73" xr3:uid="{67B81B3B-ECA7-C344-ABF8-28C15FAD2D28}" uniqueName="73" name="Leeftijdscategorie" queryTableFieldId="73" dataDxfId="358" totalsRowDxfId="168"/>
  </tableColumns>
  <tableStyleInfo name="TableStyleMedium7"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F8B779F-4064-423E-8082-2381B0C548D1}" name="LJ" displayName="LJ" ref="A6:BW7" totalsRowShown="0" headerRowDxfId="357">
  <autoFilter ref="A6:BW7" xr:uid="{4F8B779F-4064-423E-8082-2381B0C548D1}"/>
  <tableColumns count="75">
    <tableColumn id="1" xr3:uid="{5FE8EE3F-AD35-48A6-85F6-BDFB105B0725}" name="Kringdag" dataDxfId="356"/>
    <tableColumn id="2" xr3:uid="{9BCFCC0D-6A6A-4A94-8347-6671F120F3AC}" name="Ver.nr" dataDxfId="355"/>
    <tableColumn id="3" xr3:uid="{19B2C186-27FD-419C-B197-8025BF5CFE71}" name="Naam vereniging" dataDxfId="354"/>
    <tableColumn id="4" xr3:uid="{D3334820-466D-4BDD-B965-0B7E193F3233}" name="Delegatie" dataDxfId="353"/>
    <tableColumn id="5" xr3:uid="{46317316-8382-49B2-BA5D-6FEDF3FD7884}" name="Muziekkorps bij mars en defilé" dataDxfId="352"/>
    <tableColumn id="6" xr3:uid="{13D83B93-BCD1-4CD4-9C3F-433F446A5723}" name="Deeln. jeugdkoningschieten" dataDxfId="351"/>
    <tableColumn id="7" xr3:uid="{89928C9B-C271-4E70-965C-A19CB2581977}" name="Maj. Senioren jureren bij mars" dataDxfId="350"/>
    <tableColumn id="8" xr3:uid="{02A99D9F-6464-4218-A98E-811C81615D5C}" name="Maj. Jeugd jureren bij mars" dataDxfId="349"/>
    <tableColumn id="9" xr3:uid="{CAD36238-5F96-47BD-B57F-DD6532718290}" name="Korps senioren" dataDxfId="348"/>
    <tableColumn id="10" xr3:uid="{E85CFA93-54A2-4E31-85FE-7FEFD8641F8E}" name="Junioren korps 1"/>
    <tableColumn id="11" xr3:uid="{C6BACE44-D4CB-4215-A3C3-539AAB5FB41C}" name="Junioren korps 2"/>
    <tableColumn id="26" xr3:uid="{629685E4-7852-4956-97AC-86BF9C7AC0F9}" name="Aspiranten korps 1"/>
    <tableColumn id="30" xr3:uid="{F8BDC429-9CDD-4125-AD5F-52CD2851CBA4}" name="Aspiranten korps 2"/>
    <tableColumn id="12" xr3:uid="{0671084D-0D3B-4D86-86A9-2FCF796FF887}" name="Acrobatisch senioren" dataDxfId="347"/>
    <tableColumn id="13" xr3:uid="{652975E7-D8A2-418E-9E7D-70CF9AC7B67B}" name="Acrobatisch junioren" dataDxfId="346"/>
    <tableColumn id="14" xr3:uid="{7D143A4D-59D1-43DC-9801-318329105B70}" name="Acrobatisch aspiranten" dataDxfId="345"/>
    <tableColumn id="15" xr3:uid="{22E52461-0B78-4950-B7A2-9190EC07FB64}" name="Show senioren" dataDxfId="344"/>
    <tableColumn id="16" xr3:uid="{164C10B7-0CCB-4FBA-9EDF-36DD8C3E8585}" name="Show junioren" dataDxfId="343"/>
    <tableColumn id="17" xr3:uid="{7F98B6E0-7F7C-4A4D-BEF0-395CC5476215}" name="Show aspiranten" dataDxfId="342"/>
    <tableColumn id="18" xr3:uid="{25275654-3B66-4EC8-A412-DF64E362810F}" name="Senioren indiv." dataDxfId="341"/>
    <tableColumn id="19" xr3:uid="{E061961B-1A71-4111-B704-2167D4FDCA04}" name="Junioren indiv." dataDxfId="340"/>
    <tableColumn id="20" xr3:uid="{7986702B-614E-495B-88C8-CC1A210170CF}" name="Aspiranten indiv." dataDxfId="339"/>
    <tableColumn id="21" xr3:uid="{A5461B4C-B2D1-498B-A848-42A3BC7A8BC4}" name="Sen. ind opgegeven namen" dataDxfId="338"/>
    <tableColumn id="22" xr3:uid="{BEE788A5-74B3-4FB3-907A-7BF2432D6207}" name="Jun. ind opgegeven namen" dataDxfId="337"/>
    <tableColumn id="23" xr3:uid="{8E05A72F-E53E-401A-8B0B-592CC8CBB173}" name="Asp. ind opgegeven namen" dataDxfId="336"/>
    <tableColumn id="24" xr3:uid="{D7485158-293F-4E3D-98D2-CF55D58B12AF}" name="Hoofdkorps" dataDxfId="335"/>
    <tableColumn id="25" xr3:uid="{AB010968-2E7B-460C-8993-AC1D70D3BD4E}" name="2e korps" dataDxfId="334"/>
    <tableColumn id="31" xr3:uid="{34744077-C62E-48CE-9727-2B1CD76BEDBC}" name="Groepen, teams, ensembles en duo's"/>
    <tableColumn id="27" xr3:uid="{599500F2-464C-4024-AAAB-8143C92D5AA7}" name="Senioren" dataDxfId="333"/>
    <tableColumn id="32" xr3:uid="{AAC23FE4-6A55-4F3F-B5DA-621F4A965531}" name="Jong volwassene"/>
    <tableColumn id="28" xr3:uid="{A995C14A-D6B8-4E52-B230-85D46C534476}" name="Junioren" dataDxfId="332"/>
    <tableColumn id="29" xr3:uid="{210EE2AB-E41F-4188-A61F-76AB62A874A5}" name="Aspiranten" dataDxfId="331"/>
    <tableColumn id="38" xr3:uid="{ED65980F-756D-4E2B-9049-AA3434C09965}" name="Opgegeven senioren"/>
    <tableColumn id="39" xr3:uid="{85A913A2-DB2D-473D-B40F-376E74A1C01D}" name="Opgegeven jong volwassene"/>
    <tableColumn id="66" xr3:uid="{6F5192E5-1B91-4B51-9EA0-7453F4B7B17A}" name="Opgegeven junioren"/>
    <tableColumn id="67" xr3:uid="{95B815EB-3996-4F6E-AD75-4CDFD93F7051}" name="Opgegeven aspiranten"/>
    <tableColumn id="33" xr3:uid="{21ED27EA-920A-476C-A987-C886705272C8}" name="Marketentsters" dataDxfId="330"/>
    <tableColumn id="34" xr3:uid="{A3734509-3769-4BF8-B534-139916BF52A0}" name="Luchtgeweer" dataDxfId="329"/>
    <tableColumn id="68" xr3:uid="{F3C084A4-77EF-4E7A-9A92-9EA8703884F5}" name="Aantal luchtgeweerschutters"/>
    <tableColumn id="35" xr3:uid="{1ED86575-D359-4926-BEF3-9C7AE94C3A86}" name="Luchtpistool" dataDxfId="328"/>
    <tableColumn id="69" xr3:uid="{2DEBD8E0-C520-46B4-9BA0-A78BFAF216BA}" name="Aantal luchtpistoolschutters"/>
    <tableColumn id="37" xr3:uid="{067FF6A5-1097-446D-83C7-E12AC30F6D58}" name="Handboog" dataDxfId="327"/>
    <tableColumn id="70" xr3:uid="{63E98E26-99A4-4F5F-A89F-13E5EB533A70}" name="Aantal handboogschutters"/>
    <tableColumn id="36" xr3:uid="{02F8BD9B-9513-4067-B58F-BCD37B8D4FA4}" name="Kruisboog" dataDxfId="326"/>
    <tableColumn id="71" xr3:uid="{EEFF6F95-61D3-4BBB-B11E-D55A71246670}" name="Aantal kruisboogschutters"/>
    <tableColumn id="72" xr3:uid="{B34522E3-4006-454F-B02C-47071B21675C}" name="Luchtgeweer jeugd niet ouder dan 17 jaar." dataDxfId="325"/>
    <tableColumn id="73" xr3:uid="{813B1FCC-A6C1-4D1E-9342-C3F8FDE217C5}" name="Aantal korpsen"/>
    <tableColumn id="74" xr3:uid="{A5007B21-DE97-42AC-9201-C89E60AAADA0}" name="Opgegeven jeugdkorpsen LG"/>
    <tableColumn id="40" xr3:uid="{D1DF0CC4-6AFA-4F26-94E7-B3FEE75658C3}" name="Totaal aantal deelnemers" dataDxfId="324"/>
    <tableColumn id="41" xr3:uid="{DDE8DCDB-5F0F-41D4-9355-EDE72098650B}" name="Waarvan aantal jeugd (t/m 15 jaar)" dataDxfId="323"/>
    <tableColumn id="42" xr3:uid="{4AD23B45-1194-4899-8A72-51863633B198}" name="Kanon etc." dataDxfId="322"/>
    <tableColumn id="43" xr3:uid="{0D9B4516-9153-4C8A-A67A-D8C61F99DC5C}" name="Paarden en/of koetsen" dataDxfId="321"/>
    <tableColumn id="44" xr3:uid="{70404585-6E1E-4735-9635-0D99B20FBC26}" name="Toelichting/opmerkingen" dataDxfId="320"/>
    <tableColumn id="45" xr3:uid="{93E5C4CD-053E-41C7-AD4F-D627752F5406}" name="Inzending-ID" dataDxfId="319"/>
    <tableColumn id="46" xr3:uid="{28BA3F0A-7B5B-4370-BB77-C1D614B0BA57}" name="Inzenddatum" dataDxfId="318"/>
    <tableColumn id="75" xr3:uid="{28473866-4557-4C5B-984A-95416A587C6E}" name="Date Updated" dataDxfId="317"/>
    <tableColumn id="47" xr3:uid="{8BAA550D-B5A2-4704-807E-D080519E7C8E}" name="Naam van het hoofdkorps" dataDxfId="316"/>
    <tableColumn id="48" xr3:uid="{4C0B3A23-738E-48D6-B7A1-DB4B66FC7108}" name="Zal op treden als (hoofdkorps)" dataDxfId="315"/>
    <tableColumn id="49" xr3:uid="{978EBC24-9211-4AD4-BA5E-892076319ACD}" name="Vorm van twee muziekwerken (hoofdkorps)" dataDxfId="314"/>
    <tableColumn id="50" xr3:uid="{5876098D-128A-4F2B-9BDD-05D45807EBB2}" name="Zal uitkomen in de: (hoofdkorps)" dataDxfId="313"/>
    <tableColumn id="51" xr3:uid="{05A18B09-3195-4A36-B169-BFC361010AF9}" name="Muziekwerk1 (hoofdkorps)" dataDxfId="312"/>
    <tableColumn id="52" xr3:uid="{080589DF-D751-4E72-A1FF-D1499E799DFF}" name="Muziekwerk2 (hoofdkorps)" dataDxfId="311"/>
    <tableColumn id="53" xr3:uid="{DBA6CB2B-424D-42B2-AEE2-173CFFC390B3}" name="Korps bestaat uit ... deelnemers (hoofdkorps)" dataDxfId="310"/>
    <tableColumn id="54" xr3:uid="{0193C038-31CC-4C3D-B86C-79F592AFB69F}" name="Naam van het 2e korps" dataDxfId="309"/>
    <tableColumn id="55" xr3:uid="{BF390BAF-759F-46A2-B089-A26594BD5AE3}" name="Zal op treden als (2e korps)" dataDxfId="308"/>
    <tableColumn id="56" xr3:uid="{14E841BE-A956-401D-8BCB-786DD5C94AB2}" name="Vorm van twee muziekwerken (2e korps)" dataDxfId="307"/>
    <tableColumn id="57" xr3:uid="{6B38B763-EDC5-43F3-B366-D91005BD8A10}" name="Zal uitkomen in de: (2e korps)" dataDxfId="306"/>
    <tableColumn id="58" xr3:uid="{C7F25D80-94FE-4E9D-97DB-72DBE154F97B}" name="Muziekwerk1 (2e korps)" dataDxfId="305"/>
    <tableColumn id="59" xr3:uid="{ED2D53AE-F005-432E-AE06-D5BCC146DE7B}" name="Muziekwerk2 (2e korps)" dataDxfId="304"/>
    <tableColumn id="60" xr3:uid="{58169E12-99B5-492C-8129-4C808E23FA7B}" name="Korps bestaat uit ... deelnemers (2e korps)" dataDxfId="303"/>
    <tableColumn id="64" xr3:uid="{4D6655B8-62D6-4EAB-A7FB-A89BE3494370}" name="Mechanische muziek" dataDxfId="302"/>
    <tableColumn id="61" xr3:uid="{A2F2496B-A903-498D-AFCA-BABB37C97D6C}" name="Onderdelen" dataDxfId="301"/>
    <tableColumn id="62" xr3:uid="{10DCF5A1-FD69-4824-9AC7-CD0F873384CD}" name="Secties" dataDxfId="300"/>
    <tableColumn id="63" xr3:uid="{489834DB-73B0-4029-AA2F-15D1970AC822}" name="Leeftijdscategorie" dataDxfId="299"/>
    <tableColumn id="65" xr3:uid="{BAC977F7-6EBE-47F3-A368-FEF310D3AC6C}" name="Aantal opgegeven majorettes" dataDxfId="298"/>
  </tableColumns>
  <tableStyleInfo name="TableStyleMedium7"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3BE24FE-77E5-4EA1-8B0F-4712CD50A33E}" name="FSD" displayName="FSD" ref="A6:BA43" tableType="queryTable" totalsRowCount="1" headerRowDxfId="297" totalsRowDxfId="296" headerRowCellStyle="Goed">
  <autoFilter ref="A6:BA42" xr:uid="{73BE24FE-77E5-4EA1-8B0F-4712CD50A33E}"/>
  <tableColumns count="53">
    <tableColumn id="1" xr3:uid="{230D35B1-318E-4FC7-8CFE-CB72561A7C78}" uniqueName="1" name="Kringdag" totalsRowLabel="Totaal" queryTableFieldId="1"/>
    <tableColumn id="2" xr3:uid="{AD474DAC-790B-3847-9B57-F5955DFF739F}" uniqueName="2" name="Ver.nr." queryTableFieldId="114" dataDxfId="295"/>
    <tableColumn id="3" xr3:uid="{A1938DE9-F00D-4BA8-8A5F-EE6F77AD45DA}" uniqueName="3" name="Naam vereniging" totalsRowFunction="count" queryTableFieldId="3"/>
    <tableColumn id="4" xr3:uid="{8445C7DB-35BB-43B8-8DFD-7447E65AEC62}" uniqueName="4" name="Delegatie" totalsRowFunction="custom" queryTableFieldId="4" dataDxfId="83" totalsRowDxfId="84">
      <totalsRowFormula>COUNTIF(FSD[Delegatie],"x")</totalsRowFormula>
    </tableColumn>
    <tableColumn id="5" xr3:uid="{B4122B33-29F3-BC4D-9656-9FAFDD0B4E46}" uniqueName="5" name="Muziekkorps tijdens mars en defilé" totalsRowFunction="custom" queryTableFieldId="115" totalsRowDxfId="85">
      <totalsRowFormula>COUNTIF(FSD[Muziekkorps tijdens mars en defilé],"x")</totalsRowFormula>
    </tableColumn>
    <tableColumn id="6" xr3:uid="{9947508B-2FE2-C14D-AAD6-52ACD1A90FC6}" uniqueName="6" name="Deelname jeugdkoningschieten" totalsRowFunction="custom" queryTableFieldId="116" totalsRowDxfId="86">
      <totalsRowFormula>COUNTIF(FSD[Deelname jeugdkoningschieten],"x")</totalsRowFormula>
    </tableColumn>
    <tableColumn id="7" xr3:uid="{FFA6CD71-9DBE-4EB0-AEE3-60F267D05DF9}" uniqueName="7" name="Maj. Senioren jureren bij mars" totalsRowFunction="custom" queryTableFieldId="7" dataDxfId="82" totalsRowDxfId="87">
      <totalsRowFormula>COUNTIF(FSD[Maj. Senioren jureren bij mars],"x")</totalsRowFormula>
    </tableColumn>
    <tableColumn id="8" xr3:uid="{322A5420-10BF-47E2-9B31-CA992EDA8F66}" uniqueName="8" name="Maj. Jeugd jureren bij mars" totalsRowFunction="custom" queryTableFieldId="8" dataDxfId="81" totalsRowDxfId="88">
      <totalsRowFormula>COUNTIF(FSD[Maj. Jeugd jureren bij mars],"x")</totalsRowFormula>
    </tableColumn>
    <tableColumn id="9" xr3:uid="{D68C2110-07D1-4FBE-AA9F-E4CC6B7C3081}" uniqueName="9" name="Korps senioren" totalsRowFunction="sum" queryTableFieldId="9" dataDxfId="80" totalsRowDxfId="89"/>
    <tableColumn id="10" xr3:uid="{0E9FDA67-0BA2-440B-862C-AA13736A58A1}" uniqueName="10" name="Junioren korps 1" totalsRowFunction="sum" queryTableFieldId="106" totalsRowDxfId="90"/>
    <tableColumn id="11" xr3:uid="{F1D8E8E6-F687-49A4-9578-08E116AFF37A}" uniqueName="11" name="Junioren korps 2" totalsRowFunction="sum" queryTableFieldId="107" totalsRowDxfId="91"/>
    <tableColumn id="26" xr3:uid="{F2C10C82-BF45-4F2D-9F7A-DEBF4CCE992A}" uniqueName="26" name="Aspiranten korps 1" totalsRowFunction="sum" queryTableFieldId="108" totalsRowDxfId="92"/>
    <tableColumn id="30" xr3:uid="{FCCB5B66-5964-450C-BBFA-4BA2596DC701}" uniqueName="30" name="Aspiranten korps 2" totalsRowFunction="sum" queryTableFieldId="109" totalsRowDxfId="93"/>
    <tableColumn id="12" xr3:uid="{C04A0F2F-F380-4FEF-A0BC-8F43D2154B1F}" uniqueName="12" name="Acrobatisch senioren" totalsRowFunction="sum" queryTableFieldId="12" dataDxfId="79" totalsRowDxfId="94"/>
    <tableColumn id="13" xr3:uid="{04F2402D-62D5-4A1D-96B1-681E01E2DFEA}" uniqueName="13" name="Acrobatisch junioren" totalsRowFunction="sum" queryTableFieldId="13" dataDxfId="78" totalsRowDxfId="95"/>
    <tableColumn id="14" xr3:uid="{B577E129-427F-4CFB-B068-049EF4DE88AA}" uniqueName="14" name="Acrobatisch aspiranten" totalsRowFunction="sum" queryTableFieldId="14" dataDxfId="77" totalsRowDxfId="96"/>
    <tableColumn id="15" xr3:uid="{9FB3C53E-0253-3F45-9933-4B967C41D339}" uniqueName="15" name="Opgeven vendeliers ind." totalsRowFunction="sum" queryTableFieldId="117"/>
    <tableColumn id="16" xr3:uid="{F92FAD8B-6D1A-194C-8CED-E41816C6CB8E}" uniqueName="16" name="Acrob. senioren indiv." totalsRowFunction="sum" queryTableFieldId="118"/>
    <tableColumn id="17" xr3:uid="{0B102C2F-AD25-3C43-9376-BF13C6256626}" uniqueName="17" name="Acrob. junioren indiv." totalsRowFunction="sum" queryTableFieldId="119"/>
    <tableColumn id="18" xr3:uid="{3B544119-2684-8D4B-8C40-AB6877A08D91}" uniqueName="18" name="Acrob. aspiranten indiv." totalsRowFunction="sum" queryTableFieldId="120"/>
    <tableColumn id="19" xr3:uid="{C4A0873A-81B2-E94B-9693-D387C05C416E}" uniqueName="19" name="Deelname hoofdkorps" totalsRowFunction="custom" queryTableFieldId="121" totalsRowDxfId="97">
      <totalsRowFormula>COUNTIF(FSD[Deelname hoofdkorps],"x")</totalsRowFormula>
    </tableColumn>
    <tableColumn id="31" xr3:uid="{C6B6683E-5C96-41A9-B01B-566544560117}" uniqueName="31" name="Groepen, teams, ensembles en duo's" totalsRowFunction="sum" queryTableFieldId="74" totalsRowDxfId="98"/>
    <tableColumn id="70" xr3:uid="{306F10D5-06E3-4B62-BCA3-911F4788FCB0}" uniqueName="70" name="Aantal opgegeven majorettes" totalsRowFunction="sum" queryTableFieldId="70" dataDxfId="76" totalsRowDxfId="99"/>
    <tableColumn id="20" xr3:uid="{F246734C-026F-D446-A60A-6AAB658430B5}" uniqueName="20" name="Opgeven bielemannen" totalsRowFunction="sum" queryTableFieldId="122"/>
    <tableColumn id="27" xr3:uid="{E6390A79-1F93-4025-9782-192BF3044E75}" uniqueName="27" name="Senioren" totalsRowFunction="sum" queryTableFieldId="27" dataDxfId="75" totalsRowDxfId="100"/>
    <tableColumn id="32" xr3:uid="{47F07FDD-ACC0-47B9-B47E-BE6237E27AC1}" uniqueName="32" name="Jong Volwassene" totalsRowFunction="sum" queryTableFieldId="75" totalsRowDxfId="101"/>
    <tableColumn id="28" xr3:uid="{95FC90F7-6D74-41B8-BE65-1833DDE14332}" uniqueName="28" name="Junioren" totalsRowFunction="sum" queryTableFieldId="28" dataDxfId="74" totalsRowDxfId="102"/>
    <tableColumn id="29" xr3:uid="{5360D20E-C4EF-427A-B9FC-486AFA38F7BE}" uniqueName="29" name="Aspiranten" totalsRowFunction="sum" queryTableFieldId="29" dataDxfId="73" totalsRowDxfId="103"/>
    <tableColumn id="21" xr3:uid="{D657FABB-3CD3-D848-A6D4-6C3029EB4E22}" uniqueName="21" name="Deelname marketentsters" totalsRowFunction="custom" queryTableFieldId="123" totalsRowDxfId="104">
      <totalsRowFormula>COUNTIF(FSD[Deelname marketentsters],"x")</totalsRowFormula>
    </tableColumn>
    <tableColumn id="42" xr3:uid="{FEA14974-141D-4214-9AD9-CDA825A0E3E5}" uniqueName="42" name="Aantal luchtgeweerschutters" totalsRowFunction="sum" queryTableFieldId="80" dataDxfId="72"/>
    <tableColumn id="43" xr3:uid="{128AC803-FF09-4C99-9BFD-05E8090ADB1F}" uniqueName="43" name="Aantal luchtpistoolschutters" totalsRowFunction="sum" queryTableFieldId="81" dataDxfId="71" totalsRowDxfId="105"/>
    <tableColumn id="44" xr3:uid="{761688DF-91FF-486E-BDCE-FF3E5AA8ACCE}" uniqueName="44" name="Aantal handboogschutters" totalsRowFunction="sum" queryTableFieldId="82" dataDxfId="70"/>
    <tableColumn id="71" xr3:uid="{2C9358B9-7475-489E-9694-B3B4C97B0B32}" uniqueName="71" name="Aantal kruisboogschutters" totalsRowFunction="sum" queryTableFieldId="83" dataDxfId="69" totalsRowDxfId="106"/>
    <tableColumn id="22" xr3:uid="{EDB1D253-B08F-924E-B593-DBDF10DE39BE}" uniqueName="22" name="(Aantal jeugdkorpsen" totalsRowFunction="sum" queryTableFieldId="124"/>
    <tableColumn id="45" xr3:uid="{3DDEB7CD-1ACF-477A-850B-DC26C9544089}" uniqueName="45" name="Totaal aantal deelnemers" totalsRowFunction="sum" queryTableFieldId="45" dataDxfId="68" totalsRowDxfId="107"/>
    <tableColumn id="46" xr3:uid="{03BCDF0D-E655-4FDC-9FDF-714C72EF21E0}" uniqueName="46" name="Waarvan aantal jeugd (t/m 15 jaar)" totalsRowFunction="sum" queryTableFieldId="46" dataDxfId="67" totalsRowDxfId="108"/>
    <tableColumn id="47" xr3:uid="{1848C3AC-DA5D-414D-86CC-5716528A6449}" uniqueName="47" name="Kanon etc." totalsRowFunction="custom" queryTableFieldId="47" dataDxfId="66" totalsRowDxfId="109">
      <totalsRowFormula>COUNTIF(FSD[Kanon etc.],"x")</totalsRowFormula>
    </tableColumn>
    <tableColumn id="48" xr3:uid="{9536F103-194A-4528-8CF5-42BD315ACC0E}" uniqueName="48" name="Paarden en/of koetsen" totalsRowFunction="custom" queryTableFieldId="48" dataDxfId="65" totalsRowDxfId="110">
      <totalsRowFormula>COUNTIF(FSD[Paarden en/of koetsen],"x")</totalsRowFormula>
    </tableColumn>
    <tableColumn id="49" xr3:uid="{D69853E1-38FA-4FFD-BCDE-760AAEFA4E6D}" uniqueName="49" name="Toelichting/opmerkingen" queryTableFieldId="49" dataDxfId="64" totalsRowDxfId="111"/>
    <tableColumn id="50" xr3:uid="{2D4D71CB-4C44-4624-B6A1-CA83504691E4}" uniqueName="50" name="Inzending-ID" queryTableFieldId="50" dataDxfId="63" totalsRowDxfId="112"/>
    <tableColumn id="51" xr3:uid="{F8FC0A29-19D2-441E-ABBC-6C9448E2F8E5}" uniqueName="51" name="Inzenddatum" queryTableFieldId="51" dataDxfId="62" totalsRowDxfId="113"/>
    <tableColumn id="75" xr3:uid="{DF430BCF-06A0-4909-886A-ED7C3675C9B4}" uniqueName="75" name="Date Updated" queryTableFieldId="87" dataDxfId="61" totalsRowDxfId="114"/>
    <tableColumn id="52" xr3:uid="{A17B95BB-AE23-4602-86E4-E4B69AC172FE}" uniqueName="52" name="Naam van het hoofdkorps" queryTableFieldId="52" dataDxfId="60" totalsRowDxfId="115"/>
    <tableColumn id="53" xr3:uid="{E2FBE64E-F279-4D1C-A0C3-67A6E2083C70}" uniqueName="53" name="Zal op treden als (hoofdkorps)" queryTableFieldId="53" dataDxfId="59" totalsRowDxfId="116"/>
    <tableColumn id="54" xr3:uid="{7E0FF81D-4AE6-429F-A3B8-FDB29CD17EAD}" uniqueName="54" name="Vorm van twee muziekwerken (hoofdkorps)" queryTableFieldId="54" dataDxfId="58" totalsRowDxfId="117"/>
    <tableColumn id="55" xr3:uid="{DDAF515F-C3A4-46D2-9641-5618C7145E94}" uniqueName="55" name="Zal uitkomen in de: (hoofdkorps)" queryTableFieldId="55" dataDxfId="57" totalsRowDxfId="118"/>
    <tableColumn id="56" xr3:uid="{9B712097-685D-41FF-BDCD-B39B0DAEDE68}" uniqueName="56" name="Muziekwerk1 (hoofdkorps)" queryTableFieldId="56" dataDxfId="56" totalsRowDxfId="119"/>
    <tableColumn id="57" xr3:uid="{DCE8685F-7B4B-40B8-B019-8DFBBE97A1A7}" uniqueName="57" name="Muziekwerk2 (hoofdkorps)" queryTableFieldId="57" dataDxfId="55" totalsRowDxfId="120"/>
    <tableColumn id="58" xr3:uid="{E2D403CC-64F0-40C2-BC6C-3633185356EF}" uniqueName="58" name="Korps bestaat uit ... deelnemers (hoofdkorps)" totalsRowFunction="sum" queryTableFieldId="58" dataDxfId="54" totalsRowDxfId="121"/>
    <tableColumn id="23" xr3:uid="{70BD7402-9568-E342-8AEF-DA0C518CA4B4}" uniqueName="23" name="Wordt er gebruik gemaakt van mechanische muziek?" queryTableFieldId="125"/>
    <tableColumn id="66" xr3:uid="{CA4F0955-5464-46EE-BEA9-38CE7800D2EC}" uniqueName="66" name="Onderdelen" queryTableFieldId="66" dataDxfId="53" totalsRowDxfId="122"/>
    <tableColumn id="67" xr3:uid="{3F1F53B8-F781-401E-82C8-90031468BF1B}" uniqueName="67" name="Secties" queryTableFieldId="67" dataDxfId="52" totalsRowDxfId="123"/>
    <tableColumn id="68" xr3:uid="{D58A6DB8-6A15-4F87-AC46-684B07791844}" uniqueName="68" name="Leeftijdscategorie" queryTableFieldId="68" dataDxfId="51" totalsRowDxfId="124"/>
  </tableColumns>
  <tableStyleInfo name="TableStyleMedium7"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80296358-BD0A-2548-8CD0-0F3EB2F371FA}" name="GKVI" displayName="GKVI" ref="A6:T41" tableType="queryTable" totalsRowCount="1" headerRowDxfId="294" headerRowCellStyle="Standaard 2">
  <autoFilter ref="A6:T40" xr:uid="{80296358-BD0A-2548-8CD0-0F3EB2F371FA}"/>
  <tableColumns count="20">
    <tableColumn id="1" xr3:uid="{CAB0F7BF-DD3C-574E-9EFD-1395DB378952}" uniqueName="1" name="Inzending-ID" totalsRowLabel="Totaal" queryTableFieldId="1"/>
    <tableColumn id="102" xr3:uid="{AF4CBE9A-929A-6D4B-8810-B6A58ECA339C}" uniqueName="102" name="Inzenddatum" queryTableFieldId="102" dataDxfId="50"/>
    <tableColumn id="2" xr3:uid="{514E1936-3658-F647-B9BB-1EBF2043A08F}" uniqueName="2" name="GKVI" queryTableFieldId="2" dataDxfId="293"/>
    <tableColumn id="4" xr3:uid="{186B5F09-B28F-204A-9D00-E34E7C10285E}" uniqueName="4" name="Verenigingsnummer" queryTableFieldId="4" dataDxfId="292"/>
    <tableColumn id="5" xr3:uid="{DE78238A-E945-E641-8428-00DF25B86411}" uniqueName="5" name="Naam vereniging" totalsRowFunction="count" queryTableFieldId="5" dataDxfId="291"/>
    <tableColumn id="89" xr3:uid="{FF174135-2E24-FF48-8ECA-39936694BB30}" uniqueName="89" name="Korps klassiek senioren" totalsRowFunction="sum" queryTableFieldId="89"/>
    <tableColumn id="90" xr3:uid="{E0E87A3F-F0EC-AF41-BE97-E723A98D94FC}" uniqueName="90" name="Korps 1 klassiek junioren" totalsRowFunction="sum" queryTableFieldId="90"/>
    <tableColumn id="91" xr3:uid="{76BE0708-7844-0D42-93ED-F449F78A4CC9}" uniqueName="91" name="Korps 2 klassiek junioren" totalsRowFunction="sum" queryTableFieldId="91"/>
    <tableColumn id="92" xr3:uid="{74449515-E657-7149-A18C-D83AE22647FF}" uniqueName="92" name="Korps 1 klassiek aspiranten" totalsRowFunction="sum" queryTableFieldId="92"/>
    <tableColumn id="93" xr3:uid="{B5315752-004F-944F-9A3B-04DEAE3027EC}" uniqueName="93" name="Korps 2 klassiek aspiranten" totalsRowFunction="sum" queryTableFieldId="93"/>
    <tableColumn id="94" xr3:uid="{F4D13990-003C-4347-BD97-8E218345CE8E}" uniqueName="94" name="Korps acrob. senioren" totalsRowFunction="sum" queryTableFieldId="94"/>
    <tableColumn id="95" xr3:uid="{181A6129-D370-2F48-84A2-05E7B45235D2}" uniqueName="95" name="Korps acrob. junioren" totalsRowFunction="sum" queryTableFieldId="95"/>
    <tableColumn id="96" xr3:uid="{33130EDC-5DD4-0D45-BCA7-8774546BD6B5}" uniqueName="96" name="Korps acrob. aspiranten" totalsRowFunction="sum" queryTableFieldId="96"/>
    <tableColumn id="97" xr3:uid="{F60065D0-C0AB-254E-A746-58CBE2F7F207}" uniqueName="97" name="Acrob. senioren indiv." totalsRowFunction="sum" queryTableFieldId="97"/>
    <tableColumn id="98" xr3:uid="{B36C6251-88D8-F243-83B1-4F57355C8410}" uniqueName="98" name="Acrob. junioren indiv." totalsRowFunction="sum" queryTableFieldId="98"/>
    <tableColumn id="99" xr3:uid="{BECA0A40-3136-634B-9526-6F1483FB4901}" uniqueName="99" name="Acrob. aspiranten indiv." totalsRowFunction="sum" queryTableFieldId="99"/>
    <tableColumn id="100" xr3:uid="{E1599B97-1727-BC43-A597-55D4EF9E7D3F}" uniqueName="100" name="Aantal deelnemers" totalsRowFunction="sum" queryTableFieldId="100"/>
    <tableColumn id="101" xr3:uid="{2E250411-C593-5847-9D9F-815CE5CD2612}" uniqueName="101" name="Hiervan is aspirant" queryTableFieldId="101"/>
    <tableColumn id="103" xr3:uid="{A1BCD839-724C-AE4A-A858-19F55BE8786B}" uniqueName="103" name="Opmerkingen" queryTableFieldId="103" dataDxfId="290"/>
    <tableColumn id="104" xr3:uid="{BF3E1BA2-5AD0-3449-986F-E026AA93C587}" uniqueName="104" name="Date Updated" queryTableFieldId="104" dataDxfId="49"/>
  </tableColumns>
  <tableStyleInfo name="TableStyleMedium7"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1D92841-27A3-5641-A527-6B9D6BA8F364}" name="Bielemantreffen" displayName="Bielemantreffen" ref="A5:K29" tableType="queryTable" totalsRowCount="1">
  <autoFilter ref="A5:K28" xr:uid="{F1D92841-27A3-5641-A527-6B9D6BA8F364}"/>
  <tableColumns count="11">
    <tableColumn id="303" xr3:uid="{A94972F1-2815-344C-B319-E86D14FF2709}" uniqueName="303" name="BIEL" totalsRowLabel="Totaal" queryTableFieldId="303" dataDxfId="289"/>
    <tableColumn id="60" xr3:uid="{137EEC73-1F58-F940-88A6-83DE969EFB55}" uniqueName="60" name="Verenigingsnummer" queryTableFieldId="539" dataDxfId="288"/>
    <tableColumn id="305" xr3:uid="{EF587655-6137-914D-8DF2-DF7D61C96AD6}" uniqueName="305" name="Naam vereniging" totalsRowFunction="count" queryTableFieldId="305" dataDxfId="287"/>
    <tableColumn id="56" xr3:uid="{C24D88B7-F93A-B245-9315-921B4417C8D9}" uniqueName="56" name="Senioren" totalsRowFunction="sum" queryTableFieldId="524" dataDxfId="286"/>
    <tableColumn id="59" xr3:uid="{BB264121-54D0-AA40-9AAD-AF677DC62E28}" uniqueName="59" name="Jong Volwassene" totalsRowFunction="sum" queryTableFieldId="527" dataDxfId="285"/>
    <tableColumn id="57" xr3:uid="{B24BFEE6-D536-6F4C-BF0C-E2640F564E68}" uniqueName="57" name="Junioren" totalsRowFunction="sum" queryTableFieldId="525" dataDxfId="284"/>
    <tableColumn id="58" xr3:uid="{911E21B5-975B-6648-A9C2-D9FF4A132901}" uniqueName="58" name="Aspiranten" totalsRowFunction="sum" queryTableFieldId="526" dataDxfId="283"/>
    <tableColumn id="461" xr3:uid="{EC34EAC4-8D29-544B-A48D-CC21F916D8F8}" uniqueName="461" name="Opmerkingen/toelichting" queryTableFieldId="461" dataDxfId="282"/>
    <tableColumn id="301" xr3:uid="{71CF2666-9A3D-374F-84AF-5FA753C27E48}" uniqueName="301" name="Inzending-ID" queryTableFieldId="301" dataDxfId="281"/>
    <tableColumn id="302" xr3:uid="{F158597D-9E24-E14A-BE91-A8830C938E65}" uniqueName="302" name="Inzenddatum" queryTableFieldId="302" dataDxfId="1"/>
    <tableColumn id="463" xr3:uid="{50B28929-C17A-BD47-A857-DA30E767E60B}" uniqueName="463" name="Date Updated" totalsRowFunction="count" queryTableFieldId="463" dataDxfId="0"/>
  </tableColumns>
  <tableStyleInfo name="TableStyleMedium7" showFirstColumn="0" showLastColumn="0" showRowStripes="1" showColumnStripes="0"/>
</table>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_rels/sheet9.xml.rels><?xml version="1.0" encoding="UTF-8" standalone="yes"?>
<Relationships xmlns="http://schemas.openxmlformats.org/package/2006/relationships"><Relationship Id="rId1"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D7BAB-3485-4E29-90D6-492F584E3FD6}">
  <dimension ref="A1:CC108"/>
  <sheetViews>
    <sheetView zoomScaleNormal="100" workbookViewId="0">
      <pane xSplit="3" ySplit="5" topLeftCell="AC6" activePane="bottomRight" state="frozen"/>
      <selection pane="topRight" activeCell="D1" sqref="D1"/>
      <selection pane="bottomLeft" activeCell="A7" sqref="A7"/>
      <selection pane="bottomRight" activeCell="C89" sqref="C89"/>
    </sheetView>
  </sheetViews>
  <sheetFormatPr baseColWidth="10" defaultColWidth="8.83203125" defaultRowHeight="15" x14ac:dyDescent="0.2"/>
  <cols>
    <col min="1" max="1" width="11.5" bestFit="1" customWidth="1"/>
    <col min="2" max="2" width="9.1640625" bestFit="1" customWidth="1"/>
    <col min="3" max="3" width="58.83203125" bestFit="1" customWidth="1"/>
    <col min="4" max="8" width="3.6640625" bestFit="1" customWidth="1"/>
    <col min="9" max="10" width="4.1640625" bestFit="1" customWidth="1"/>
    <col min="11" max="11" width="3.6640625" bestFit="1" customWidth="1"/>
    <col min="12" max="12" width="4.1640625" bestFit="1" customWidth="1"/>
    <col min="13" max="17" width="3.6640625" bestFit="1" customWidth="1"/>
    <col min="18" max="19" width="3.6640625" style="48" bestFit="1" customWidth="1"/>
    <col min="20" max="22" width="3.6640625" bestFit="1" customWidth="1"/>
    <col min="23" max="25" width="4.1640625" bestFit="1" customWidth="1"/>
    <col min="26" max="29" width="3.6640625" bestFit="1" customWidth="1"/>
    <col min="30" max="31" width="4.1640625" bestFit="1" customWidth="1"/>
    <col min="32" max="32" width="3.6640625" bestFit="1" customWidth="1"/>
    <col min="33" max="33" width="4.1640625" bestFit="1" customWidth="1"/>
    <col min="34" max="34" width="3.6640625" bestFit="1" customWidth="1"/>
    <col min="35" max="35" width="5.1640625" bestFit="1" customWidth="1"/>
    <col min="36" max="36" width="4.1640625" bestFit="1" customWidth="1"/>
    <col min="37" max="38" width="3.6640625" bestFit="1" customWidth="1"/>
    <col min="39" max="39" width="51.5" style="42" bestFit="1" customWidth="1"/>
    <col min="40" max="40" width="5.1640625" bestFit="1" customWidth="1"/>
    <col min="41" max="42" width="15" bestFit="1" customWidth="1"/>
    <col min="43" max="43" width="40.6640625" bestFit="1" customWidth="1"/>
    <col min="44" max="44" width="23.83203125" style="42" bestFit="1" customWidth="1"/>
    <col min="45" max="45" width="30.6640625" bestFit="1" customWidth="1"/>
    <col min="46" max="46" width="30.5" bestFit="1" customWidth="1"/>
    <col min="47" max="47" width="20.5" bestFit="1" customWidth="1"/>
    <col min="48" max="48" width="25.1640625" bestFit="1" customWidth="1"/>
    <col min="49" max="49" width="4.1640625" bestFit="1" customWidth="1"/>
    <col min="50" max="50" width="4" bestFit="1" customWidth="1"/>
    <col min="51" max="51" width="50.83203125" bestFit="1" customWidth="1"/>
    <col min="52" max="52" width="48.1640625" bestFit="1" customWidth="1"/>
    <col min="53" max="53" width="43" style="47" bestFit="1" customWidth="1"/>
    <col min="54" max="54" width="15.6640625" style="1" bestFit="1" customWidth="1"/>
    <col min="55" max="55" width="21.33203125" style="1" bestFit="1" customWidth="1"/>
    <col min="56" max="57" width="9.33203125" bestFit="1" customWidth="1"/>
  </cols>
  <sheetData>
    <row r="1" spans="1:81" x14ac:dyDescent="0.2">
      <c r="AI1" t="s">
        <v>0</v>
      </c>
      <c r="AL1" s="2"/>
      <c r="AM1" s="85"/>
      <c r="AS1" s="1"/>
      <c r="AT1" s="1"/>
      <c r="BB1" s="24"/>
      <c r="BC1" s="24"/>
      <c r="BD1" s="24"/>
      <c r="BE1" s="24"/>
    </row>
    <row r="2" spans="1:81" ht="16" thickBot="1" x14ac:dyDescent="0.25">
      <c r="AL2" s="2"/>
      <c r="AM2" s="85"/>
      <c r="AS2" s="1"/>
      <c r="AT2" s="1"/>
      <c r="BB2" s="24"/>
      <c r="BC2" s="24"/>
      <c r="BD2" s="24"/>
      <c r="BE2" s="24"/>
    </row>
    <row r="3" spans="1:81" ht="33" customHeight="1" thickBot="1" x14ac:dyDescent="0.25">
      <c r="A3" s="67"/>
      <c r="B3" s="68"/>
      <c r="C3" s="69"/>
      <c r="D3" s="95" t="s">
        <v>1</v>
      </c>
      <c r="E3" s="96"/>
      <c r="F3" s="96"/>
      <c r="G3" s="96"/>
      <c r="H3" s="97"/>
      <c r="I3" s="72"/>
      <c r="J3" s="102" t="s">
        <v>2</v>
      </c>
      <c r="K3" s="102"/>
      <c r="L3" s="102"/>
      <c r="M3" s="102"/>
      <c r="N3" s="102"/>
      <c r="O3" s="102"/>
      <c r="P3" s="102"/>
      <c r="Q3" s="102"/>
      <c r="R3" s="102"/>
      <c r="S3" s="102"/>
      <c r="T3" s="103"/>
      <c r="U3" s="17" t="s">
        <v>3</v>
      </c>
      <c r="V3" s="11" t="s">
        <v>150</v>
      </c>
      <c r="W3" s="13"/>
      <c r="X3" s="95" t="s">
        <v>5</v>
      </c>
      <c r="Y3" s="96"/>
      <c r="Z3" s="96"/>
      <c r="AA3" s="96"/>
      <c r="AB3" s="97"/>
      <c r="AC3" s="106" t="s">
        <v>151</v>
      </c>
      <c r="AD3" s="95" t="s">
        <v>7</v>
      </c>
      <c r="AE3" s="96"/>
      <c r="AF3" s="96"/>
      <c r="AG3" s="96"/>
      <c r="AH3" s="97"/>
      <c r="AI3" s="95" t="s">
        <v>8</v>
      </c>
      <c r="AJ3" s="96"/>
      <c r="AK3" s="96"/>
      <c r="AL3" s="96"/>
      <c r="AM3" s="96"/>
      <c r="AN3" s="96"/>
      <c r="AO3" s="96"/>
      <c r="AP3" s="96"/>
      <c r="AQ3" s="97"/>
      <c r="AR3" s="89" t="s">
        <v>9</v>
      </c>
      <c r="AS3" s="90"/>
      <c r="AT3" s="90"/>
      <c r="AU3" s="90"/>
      <c r="AV3" s="90"/>
      <c r="AW3" s="91"/>
      <c r="AX3" s="95" t="s">
        <v>152</v>
      </c>
      <c r="AY3" s="96"/>
      <c r="AZ3" s="96"/>
      <c r="BA3" s="97"/>
      <c r="BB3"/>
      <c r="BC3"/>
      <c r="BW3" s="1"/>
      <c r="BX3" s="24"/>
      <c r="BY3" s="24"/>
      <c r="BZ3" s="24"/>
      <c r="CA3" s="24"/>
      <c r="CB3" s="24"/>
      <c r="CC3" s="24"/>
    </row>
    <row r="4" spans="1:81" ht="16" thickBot="1" x14ac:dyDescent="0.25">
      <c r="A4" s="70"/>
      <c r="B4" s="71"/>
      <c r="C4" s="61"/>
      <c r="D4" s="98"/>
      <c r="E4" s="99"/>
      <c r="F4" s="99"/>
      <c r="G4" s="99"/>
      <c r="H4" s="100"/>
      <c r="I4" s="101" t="s">
        <v>11</v>
      </c>
      <c r="J4" s="104"/>
      <c r="K4" s="104"/>
      <c r="L4" s="104"/>
      <c r="M4" s="105"/>
      <c r="N4" s="101" t="s">
        <v>87</v>
      </c>
      <c r="O4" s="102"/>
      <c r="P4" s="103"/>
      <c r="Q4" s="101" t="s">
        <v>14</v>
      </c>
      <c r="R4" s="102"/>
      <c r="S4" s="102"/>
      <c r="T4" s="102"/>
      <c r="U4" s="18"/>
      <c r="V4" s="14"/>
      <c r="W4" s="16"/>
      <c r="X4" s="98"/>
      <c r="Y4" s="99"/>
      <c r="Z4" s="99"/>
      <c r="AA4" s="99"/>
      <c r="AB4" s="100"/>
      <c r="AC4" s="107"/>
      <c r="AD4" s="98"/>
      <c r="AE4" s="99"/>
      <c r="AF4" s="99"/>
      <c r="AG4" s="99"/>
      <c r="AH4" s="100"/>
      <c r="AI4" s="98"/>
      <c r="AJ4" s="99"/>
      <c r="AK4" s="99"/>
      <c r="AL4" s="99"/>
      <c r="AM4" s="99"/>
      <c r="AN4" s="99"/>
      <c r="AO4" s="99"/>
      <c r="AP4" s="99"/>
      <c r="AQ4" s="100"/>
      <c r="AR4" s="92"/>
      <c r="AS4" s="93"/>
      <c r="AT4" s="93"/>
      <c r="AU4" s="93"/>
      <c r="AV4" s="93"/>
      <c r="AW4" s="94"/>
      <c r="AX4" s="98"/>
      <c r="AY4" s="99"/>
      <c r="AZ4" s="99"/>
      <c r="BA4" s="100"/>
      <c r="BB4"/>
      <c r="BC4"/>
      <c r="BW4" s="1"/>
      <c r="BX4" s="24"/>
      <c r="BY4" s="24"/>
      <c r="BZ4" s="24"/>
      <c r="CA4" s="24"/>
      <c r="CB4" s="24"/>
      <c r="CC4" s="24"/>
    </row>
    <row r="5" spans="1:81" ht="1" customHeight="1" thickBot="1" x14ac:dyDescent="0.25">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44"/>
      <c r="AN5" s="1"/>
      <c r="AO5" s="1"/>
      <c r="AP5" s="1"/>
      <c r="AQ5" s="1"/>
      <c r="AR5" s="44"/>
      <c r="AS5" s="1"/>
      <c r="AT5" s="1"/>
      <c r="AU5" s="1"/>
      <c r="AV5" s="1"/>
      <c r="AW5" s="1"/>
      <c r="AX5" s="1"/>
      <c r="AY5" s="1"/>
      <c r="AZ5" s="1"/>
      <c r="BD5" s="1"/>
      <c r="BE5" s="1"/>
    </row>
    <row r="6" spans="1:81" s="74" customFormat="1" ht="278" thickBot="1" x14ac:dyDescent="0.25">
      <c r="A6" s="73" t="s">
        <v>17</v>
      </c>
      <c r="B6" s="73" t="s">
        <v>149</v>
      </c>
      <c r="C6" s="73" t="s">
        <v>19</v>
      </c>
      <c r="D6" s="77" t="s">
        <v>20</v>
      </c>
      <c r="E6" s="78" t="s">
        <v>141</v>
      </c>
      <c r="F6" s="78" t="s">
        <v>142</v>
      </c>
      <c r="G6" s="78" t="s">
        <v>23</v>
      </c>
      <c r="H6" s="79" t="s">
        <v>24</v>
      </c>
      <c r="I6" s="77" t="s">
        <v>25</v>
      </c>
      <c r="J6" s="78" t="s">
        <v>121</v>
      </c>
      <c r="K6" s="78" t="s">
        <v>122</v>
      </c>
      <c r="L6" s="78" t="s">
        <v>123</v>
      </c>
      <c r="M6" s="78" t="s">
        <v>124</v>
      </c>
      <c r="N6" s="78" t="s">
        <v>26</v>
      </c>
      <c r="O6" s="78" t="s">
        <v>27</v>
      </c>
      <c r="P6" s="78" t="s">
        <v>28</v>
      </c>
      <c r="Q6" s="78" t="s">
        <v>146</v>
      </c>
      <c r="R6" s="78" t="s">
        <v>133</v>
      </c>
      <c r="S6" s="78" t="s">
        <v>134</v>
      </c>
      <c r="T6" s="79" t="s">
        <v>135</v>
      </c>
      <c r="U6" s="80" t="s">
        <v>144</v>
      </c>
      <c r="V6" s="77" t="s">
        <v>105</v>
      </c>
      <c r="W6" s="79" t="s">
        <v>71</v>
      </c>
      <c r="X6" s="77" t="s">
        <v>147</v>
      </c>
      <c r="Y6" s="78" t="s">
        <v>38</v>
      </c>
      <c r="Z6" s="78" t="s">
        <v>140</v>
      </c>
      <c r="AA6" s="78" t="s">
        <v>39</v>
      </c>
      <c r="AB6" s="79" t="s">
        <v>40</v>
      </c>
      <c r="AC6" s="80" t="s">
        <v>143</v>
      </c>
      <c r="AD6" s="77" t="s">
        <v>117</v>
      </c>
      <c r="AE6" s="78" t="s">
        <v>118</v>
      </c>
      <c r="AF6" s="78" t="s">
        <v>119</v>
      </c>
      <c r="AG6" s="78" t="s">
        <v>120</v>
      </c>
      <c r="AH6" s="79" t="s">
        <v>148</v>
      </c>
      <c r="AI6" s="81" t="s">
        <v>46</v>
      </c>
      <c r="AJ6" s="78" t="s">
        <v>47</v>
      </c>
      <c r="AK6" s="78" t="s">
        <v>48</v>
      </c>
      <c r="AL6" s="78" t="s">
        <v>49</v>
      </c>
      <c r="AM6" s="86" t="s">
        <v>50</v>
      </c>
      <c r="AN6" s="78" t="s">
        <v>51</v>
      </c>
      <c r="AO6" s="78" t="s">
        <v>52</v>
      </c>
      <c r="AP6" s="78" t="s">
        <v>103</v>
      </c>
      <c r="AQ6" s="79" t="s">
        <v>53</v>
      </c>
      <c r="AR6" s="77" t="s">
        <v>54</v>
      </c>
      <c r="AS6" s="78" t="s">
        <v>55</v>
      </c>
      <c r="AT6" s="78" t="s">
        <v>56</v>
      </c>
      <c r="AU6" s="78" t="s">
        <v>57</v>
      </c>
      <c r="AV6" s="78" t="s">
        <v>58</v>
      </c>
      <c r="AW6" s="79" t="s">
        <v>59</v>
      </c>
      <c r="AX6" s="77" t="s">
        <v>145</v>
      </c>
      <c r="AY6" s="78" t="s">
        <v>67</v>
      </c>
      <c r="AZ6" s="78" t="s">
        <v>68</v>
      </c>
      <c r="BA6" s="79" t="s">
        <v>69</v>
      </c>
    </row>
    <row r="7" spans="1:81" ht="48" x14ac:dyDescent="0.2">
      <c r="A7" t="s">
        <v>208</v>
      </c>
      <c r="B7" t="s">
        <v>436</v>
      </c>
      <c r="C7" t="s">
        <v>437</v>
      </c>
      <c r="D7" t="s">
        <v>73</v>
      </c>
      <c r="E7" t="s">
        <v>72</v>
      </c>
      <c r="F7" t="s">
        <v>72</v>
      </c>
      <c r="G7" t="s">
        <v>73</v>
      </c>
      <c r="I7">
        <v>10</v>
      </c>
      <c r="J7">
        <v>6</v>
      </c>
      <c r="N7">
        <v>3</v>
      </c>
      <c r="Q7">
        <v>0</v>
      </c>
      <c r="R7">
        <v>0</v>
      </c>
      <c r="S7">
        <v>0</v>
      </c>
      <c r="T7">
        <v>0</v>
      </c>
      <c r="U7" t="s">
        <v>73</v>
      </c>
      <c r="V7">
        <v>0</v>
      </c>
      <c r="W7">
        <v>0</v>
      </c>
      <c r="X7">
        <v>5</v>
      </c>
      <c r="Y7">
        <v>3</v>
      </c>
      <c r="Z7">
        <v>1</v>
      </c>
      <c r="AA7">
        <v>0</v>
      </c>
      <c r="AB7">
        <v>1</v>
      </c>
      <c r="AC7" t="s">
        <v>73</v>
      </c>
      <c r="AD7">
        <v>0</v>
      </c>
      <c r="AE7">
        <v>0</v>
      </c>
      <c r="AF7">
        <v>0</v>
      </c>
      <c r="AG7">
        <v>0</v>
      </c>
      <c r="AH7">
        <v>0</v>
      </c>
      <c r="AI7">
        <v>60</v>
      </c>
      <c r="AJ7">
        <v>20</v>
      </c>
      <c r="AK7" t="s">
        <v>72</v>
      </c>
      <c r="AL7" t="s">
        <v>73</v>
      </c>
      <c r="AM7" s="42" t="s">
        <v>438</v>
      </c>
      <c r="AN7" t="s">
        <v>439</v>
      </c>
      <c r="AO7" s="56">
        <v>46021.879988425928</v>
      </c>
      <c r="AP7" s="56">
        <v>46021.838321759256</v>
      </c>
      <c r="AQ7" t="s">
        <v>73</v>
      </c>
      <c r="AR7" t="s">
        <v>73</v>
      </c>
      <c r="AS7" t="s">
        <v>73</v>
      </c>
      <c r="AT7" t="s">
        <v>73</v>
      </c>
      <c r="AU7" t="s">
        <v>73</v>
      </c>
      <c r="AV7" t="s">
        <v>73</v>
      </c>
      <c r="AW7">
        <v>0</v>
      </c>
      <c r="AX7" t="s">
        <v>73</v>
      </c>
      <c r="AY7" t="s">
        <v>158</v>
      </c>
      <c r="AZ7" t="s">
        <v>158</v>
      </c>
      <c r="BA7" t="s">
        <v>158</v>
      </c>
      <c r="BB7"/>
      <c r="BC7"/>
    </row>
    <row r="8" spans="1:81" s="23" customFormat="1" ht="16" x14ac:dyDescent="0.2">
      <c r="A8" t="s">
        <v>208</v>
      </c>
      <c r="B8" t="s">
        <v>440</v>
      </c>
      <c r="C8" t="s">
        <v>441</v>
      </c>
      <c r="D8" t="s">
        <v>73</v>
      </c>
      <c r="E8" t="s">
        <v>73</v>
      </c>
      <c r="F8" t="s">
        <v>73</v>
      </c>
      <c r="G8" t="s">
        <v>73</v>
      </c>
      <c r="H8"/>
      <c r="I8">
        <v>4</v>
      </c>
      <c r="J8"/>
      <c r="K8"/>
      <c r="L8"/>
      <c r="M8"/>
      <c r="N8"/>
      <c r="O8"/>
      <c r="P8"/>
      <c r="Q8">
        <v>0</v>
      </c>
      <c r="R8">
        <v>0</v>
      </c>
      <c r="S8">
        <v>0</v>
      </c>
      <c r="T8">
        <v>0</v>
      </c>
      <c r="U8" t="s">
        <v>73</v>
      </c>
      <c r="V8">
        <v>0</v>
      </c>
      <c r="W8">
        <v>0</v>
      </c>
      <c r="X8">
        <v>0</v>
      </c>
      <c r="Y8">
        <v>0</v>
      </c>
      <c r="Z8">
        <v>0</v>
      </c>
      <c r="AA8">
        <v>0</v>
      </c>
      <c r="AB8">
        <v>0</v>
      </c>
      <c r="AC8" t="s">
        <v>73</v>
      </c>
      <c r="AD8">
        <v>0</v>
      </c>
      <c r="AE8">
        <v>0</v>
      </c>
      <c r="AF8">
        <v>0</v>
      </c>
      <c r="AG8">
        <v>0</v>
      </c>
      <c r="AH8">
        <v>0</v>
      </c>
      <c r="AI8">
        <v>15</v>
      </c>
      <c r="AJ8">
        <v>0</v>
      </c>
      <c r="AK8" t="s">
        <v>73</v>
      </c>
      <c r="AL8" t="s">
        <v>73</v>
      </c>
      <c r="AM8" s="42" t="s">
        <v>442</v>
      </c>
      <c r="AN8" t="s">
        <v>443</v>
      </c>
      <c r="AO8" s="56">
        <v>46021.874652777777</v>
      </c>
      <c r="AP8" s="56">
        <v>46021.832986111112</v>
      </c>
      <c r="AQ8" t="s">
        <v>73</v>
      </c>
      <c r="AR8" t="s">
        <v>73</v>
      </c>
      <c r="AS8" t="s">
        <v>73</v>
      </c>
      <c r="AT8" t="s">
        <v>73</v>
      </c>
      <c r="AU8" t="s">
        <v>73</v>
      </c>
      <c r="AV8" t="s">
        <v>73</v>
      </c>
      <c r="AW8">
        <v>0</v>
      </c>
      <c r="AX8" t="s">
        <v>73</v>
      </c>
      <c r="AY8" t="s">
        <v>158</v>
      </c>
      <c r="AZ8" t="s">
        <v>158</v>
      </c>
      <c r="BA8" t="s">
        <v>158</v>
      </c>
    </row>
    <row r="9" spans="1:81" ht="80" x14ac:dyDescent="0.2">
      <c r="A9" t="s">
        <v>208</v>
      </c>
      <c r="B9" t="s">
        <v>404</v>
      </c>
      <c r="C9" t="s">
        <v>405</v>
      </c>
      <c r="D9" t="s">
        <v>73</v>
      </c>
      <c r="E9" t="s">
        <v>72</v>
      </c>
      <c r="F9" t="s">
        <v>73</v>
      </c>
      <c r="G9" t="s">
        <v>73</v>
      </c>
      <c r="I9">
        <v>3</v>
      </c>
      <c r="Q9">
        <v>0</v>
      </c>
      <c r="R9">
        <v>0</v>
      </c>
      <c r="S9">
        <v>0</v>
      </c>
      <c r="T9">
        <v>0</v>
      </c>
      <c r="U9" t="s">
        <v>73</v>
      </c>
      <c r="V9">
        <v>0</v>
      </c>
      <c r="W9">
        <v>0</v>
      </c>
      <c r="X9">
        <v>0</v>
      </c>
      <c r="Y9">
        <v>0</v>
      </c>
      <c r="Z9">
        <v>0</v>
      </c>
      <c r="AA9">
        <v>0</v>
      </c>
      <c r="AB9">
        <v>0</v>
      </c>
      <c r="AC9" t="s">
        <v>73</v>
      </c>
      <c r="AD9">
        <v>0</v>
      </c>
      <c r="AE9">
        <v>0</v>
      </c>
      <c r="AF9">
        <v>0</v>
      </c>
      <c r="AG9">
        <v>0</v>
      </c>
      <c r="AH9">
        <v>0</v>
      </c>
      <c r="AI9">
        <v>50</v>
      </c>
      <c r="AJ9">
        <v>10</v>
      </c>
      <c r="AK9" t="s">
        <v>73</v>
      </c>
      <c r="AL9" t="s">
        <v>72</v>
      </c>
      <c r="AM9" s="42" t="s">
        <v>456</v>
      </c>
      <c r="AN9" t="s">
        <v>406</v>
      </c>
      <c r="AO9" s="56">
        <v>46019.440752314818</v>
      </c>
      <c r="AP9" s="56">
        <v>46023.433761574073</v>
      </c>
      <c r="AQ9" t="s">
        <v>73</v>
      </c>
      <c r="AR9" t="s">
        <v>73</v>
      </c>
      <c r="AS9" t="s">
        <v>73</v>
      </c>
      <c r="AT9" t="s">
        <v>73</v>
      </c>
      <c r="AU9" t="s">
        <v>73</v>
      </c>
      <c r="AV9" t="s">
        <v>73</v>
      </c>
      <c r="AW9">
        <v>0</v>
      </c>
      <c r="AX9" t="s">
        <v>73</v>
      </c>
      <c r="AY9" t="s">
        <v>158</v>
      </c>
      <c r="AZ9" t="s">
        <v>158</v>
      </c>
      <c r="BA9" t="s">
        <v>158</v>
      </c>
      <c r="BB9"/>
      <c r="BC9"/>
    </row>
    <row r="10" spans="1:81" ht="16" x14ac:dyDescent="0.2">
      <c r="A10" t="s">
        <v>208</v>
      </c>
      <c r="B10" t="s">
        <v>389</v>
      </c>
      <c r="C10" t="s">
        <v>390</v>
      </c>
      <c r="D10" t="s">
        <v>73</v>
      </c>
      <c r="E10" t="s">
        <v>72</v>
      </c>
      <c r="F10" t="s">
        <v>72</v>
      </c>
      <c r="G10" t="s">
        <v>72</v>
      </c>
      <c r="H10" t="s">
        <v>72</v>
      </c>
      <c r="I10">
        <v>13</v>
      </c>
      <c r="J10">
        <v>8</v>
      </c>
      <c r="L10">
        <v>6</v>
      </c>
      <c r="N10">
        <v>9</v>
      </c>
      <c r="Q10">
        <v>0</v>
      </c>
      <c r="R10">
        <v>0</v>
      </c>
      <c r="S10">
        <v>0</v>
      </c>
      <c r="T10">
        <v>0</v>
      </c>
      <c r="U10" t="s">
        <v>73</v>
      </c>
      <c r="V10">
        <v>5</v>
      </c>
      <c r="W10">
        <v>21</v>
      </c>
      <c r="X10">
        <v>16</v>
      </c>
      <c r="Y10">
        <v>7</v>
      </c>
      <c r="Z10">
        <v>7</v>
      </c>
      <c r="AA10">
        <v>0</v>
      </c>
      <c r="AB10">
        <v>2</v>
      </c>
      <c r="AC10" t="s">
        <v>73</v>
      </c>
      <c r="AD10">
        <v>0</v>
      </c>
      <c r="AE10">
        <v>0</v>
      </c>
      <c r="AF10">
        <v>0</v>
      </c>
      <c r="AG10">
        <v>0</v>
      </c>
      <c r="AH10">
        <v>0</v>
      </c>
      <c r="AI10">
        <v>120</v>
      </c>
      <c r="AJ10">
        <v>34</v>
      </c>
      <c r="AK10" t="s">
        <v>73</v>
      </c>
      <c r="AL10" t="s">
        <v>73</v>
      </c>
      <c r="AM10" s="42" t="s">
        <v>73</v>
      </c>
      <c r="AN10" t="s">
        <v>391</v>
      </c>
      <c r="AO10" s="56">
        <v>46017.522615740738</v>
      </c>
      <c r="AP10" s="56">
        <v>46044.741018518522</v>
      </c>
      <c r="AQ10" t="s">
        <v>73</v>
      </c>
      <c r="AR10" t="s">
        <v>73</v>
      </c>
      <c r="AS10" t="s">
        <v>73</v>
      </c>
      <c r="AT10" t="s">
        <v>73</v>
      </c>
      <c r="AU10" t="s">
        <v>73</v>
      </c>
      <c r="AV10" t="s">
        <v>73</v>
      </c>
      <c r="AW10">
        <v>0</v>
      </c>
      <c r="AX10" t="s">
        <v>75</v>
      </c>
      <c r="AY10" t="s">
        <v>392</v>
      </c>
      <c r="AZ10" t="s">
        <v>214</v>
      </c>
      <c r="BA10" t="s">
        <v>393</v>
      </c>
      <c r="BB10"/>
      <c r="BC10"/>
    </row>
    <row r="11" spans="1:81" ht="16" x14ac:dyDescent="0.2">
      <c r="A11" t="s">
        <v>208</v>
      </c>
      <c r="B11" t="s">
        <v>386</v>
      </c>
      <c r="C11" t="s">
        <v>387</v>
      </c>
      <c r="D11" t="s">
        <v>73</v>
      </c>
      <c r="E11" t="s">
        <v>72</v>
      </c>
      <c r="F11" t="s">
        <v>72</v>
      </c>
      <c r="G11" t="s">
        <v>73</v>
      </c>
      <c r="I11">
        <v>12</v>
      </c>
      <c r="N11">
        <v>4</v>
      </c>
      <c r="Q11">
        <v>3</v>
      </c>
      <c r="R11">
        <v>3</v>
      </c>
      <c r="S11">
        <v>0</v>
      </c>
      <c r="T11">
        <v>0</v>
      </c>
      <c r="U11" t="s">
        <v>73</v>
      </c>
      <c r="V11">
        <v>0</v>
      </c>
      <c r="W11">
        <v>0</v>
      </c>
      <c r="X11">
        <v>3</v>
      </c>
      <c r="Y11">
        <v>3</v>
      </c>
      <c r="Z11">
        <v>0</v>
      </c>
      <c r="AA11">
        <v>0</v>
      </c>
      <c r="AB11">
        <v>0</v>
      </c>
      <c r="AC11" t="s">
        <v>73</v>
      </c>
      <c r="AD11">
        <v>0</v>
      </c>
      <c r="AE11">
        <v>0</v>
      </c>
      <c r="AF11">
        <v>0</v>
      </c>
      <c r="AG11">
        <v>0</v>
      </c>
      <c r="AH11">
        <v>0</v>
      </c>
      <c r="AI11">
        <v>50</v>
      </c>
      <c r="AJ11">
        <v>7</v>
      </c>
      <c r="AK11" t="s">
        <v>72</v>
      </c>
      <c r="AL11" t="s">
        <v>73</v>
      </c>
      <c r="AM11" s="42" t="s">
        <v>73</v>
      </c>
      <c r="AN11" t="s">
        <v>388</v>
      </c>
      <c r="AO11" s="56">
        <v>46017.422407407408</v>
      </c>
      <c r="AP11" s="56">
        <v>46017.380740740744</v>
      </c>
      <c r="AQ11" t="s">
        <v>73</v>
      </c>
      <c r="AR11" t="s">
        <v>73</v>
      </c>
      <c r="AS11" t="s">
        <v>73</v>
      </c>
      <c r="AT11" t="s">
        <v>73</v>
      </c>
      <c r="AU11" t="s">
        <v>73</v>
      </c>
      <c r="AV11" t="s">
        <v>73</v>
      </c>
      <c r="AW11">
        <v>0</v>
      </c>
      <c r="AX11" t="s">
        <v>73</v>
      </c>
      <c r="AY11" t="s">
        <v>158</v>
      </c>
      <c r="AZ11" t="s">
        <v>158</v>
      </c>
      <c r="BA11" t="s">
        <v>158</v>
      </c>
      <c r="BB11"/>
      <c r="BC11"/>
    </row>
    <row r="12" spans="1:81" ht="16" x14ac:dyDescent="0.2">
      <c r="A12" t="s">
        <v>208</v>
      </c>
      <c r="B12" t="s">
        <v>357</v>
      </c>
      <c r="C12" t="s">
        <v>358</v>
      </c>
      <c r="D12" t="s">
        <v>73</v>
      </c>
      <c r="E12" t="s">
        <v>72</v>
      </c>
      <c r="F12" t="s">
        <v>72</v>
      </c>
      <c r="G12" t="s">
        <v>73</v>
      </c>
      <c r="H12" t="s">
        <v>72</v>
      </c>
      <c r="I12">
        <v>10</v>
      </c>
      <c r="J12">
        <v>6</v>
      </c>
      <c r="L12">
        <v>4</v>
      </c>
      <c r="N12">
        <v>4</v>
      </c>
      <c r="Q12">
        <v>0</v>
      </c>
      <c r="R12">
        <v>0</v>
      </c>
      <c r="S12">
        <v>0</v>
      </c>
      <c r="T12">
        <v>0</v>
      </c>
      <c r="U12" t="s">
        <v>73</v>
      </c>
      <c r="V12">
        <v>2</v>
      </c>
      <c r="W12">
        <v>16</v>
      </c>
      <c r="X12">
        <v>16</v>
      </c>
      <c r="Y12">
        <v>11</v>
      </c>
      <c r="Z12">
        <v>0</v>
      </c>
      <c r="AA12">
        <v>2</v>
      </c>
      <c r="AB12">
        <v>3</v>
      </c>
      <c r="AC12" t="s">
        <v>73</v>
      </c>
      <c r="AD12">
        <v>0</v>
      </c>
      <c r="AE12">
        <v>0</v>
      </c>
      <c r="AF12">
        <v>0</v>
      </c>
      <c r="AG12">
        <v>0</v>
      </c>
      <c r="AH12">
        <v>0</v>
      </c>
      <c r="AI12">
        <v>120</v>
      </c>
      <c r="AJ12">
        <v>35</v>
      </c>
      <c r="AK12" t="s">
        <v>73</v>
      </c>
      <c r="AL12" t="s">
        <v>73</v>
      </c>
      <c r="AM12" s="42" t="s">
        <v>359</v>
      </c>
      <c r="AN12" t="s">
        <v>360</v>
      </c>
      <c r="AO12" s="56">
        <v>46014.652094907404</v>
      </c>
      <c r="AP12" s="56">
        <v>46015.316423611112</v>
      </c>
      <c r="AQ12" t="s">
        <v>73</v>
      </c>
      <c r="AR12" t="s">
        <v>73</v>
      </c>
      <c r="AS12" t="s">
        <v>73</v>
      </c>
      <c r="AT12" t="s">
        <v>73</v>
      </c>
      <c r="AU12" t="s">
        <v>73</v>
      </c>
      <c r="AV12" t="s">
        <v>73</v>
      </c>
      <c r="AW12">
        <v>0</v>
      </c>
      <c r="AX12" t="s">
        <v>212</v>
      </c>
      <c r="AY12" t="s">
        <v>366</v>
      </c>
      <c r="AZ12" t="s">
        <v>361</v>
      </c>
      <c r="BA12" t="s">
        <v>367</v>
      </c>
      <c r="BB12"/>
      <c r="BC12"/>
    </row>
    <row r="13" spans="1:81" ht="16" x14ac:dyDescent="0.2">
      <c r="A13" t="s">
        <v>208</v>
      </c>
      <c r="B13" t="s">
        <v>362</v>
      </c>
      <c r="C13" t="s">
        <v>363</v>
      </c>
      <c r="D13" t="s">
        <v>73</v>
      </c>
      <c r="E13" t="s">
        <v>72</v>
      </c>
      <c r="F13" t="s">
        <v>73</v>
      </c>
      <c r="G13" t="s">
        <v>73</v>
      </c>
      <c r="Q13">
        <v>0</v>
      </c>
      <c r="R13">
        <v>0</v>
      </c>
      <c r="S13">
        <v>0</v>
      </c>
      <c r="T13">
        <v>0</v>
      </c>
      <c r="U13" t="s">
        <v>73</v>
      </c>
      <c r="V13">
        <v>0</v>
      </c>
      <c r="W13">
        <v>0</v>
      </c>
      <c r="X13">
        <v>0</v>
      </c>
      <c r="Y13">
        <v>0</v>
      </c>
      <c r="Z13">
        <v>0</v>
      </c>
      <c r="AA13">
        <v>0</v>
      </c>
      <c r="AB13">
        <v>0</v>
      </c>
      <c r="AC13" t="s">
        <v>73</v>
      </c>
      <c r="AD13">
        <v>0</v>
      </c>
      <c r="AE13">
        <v>0</v>
      </c>
      <c r="AF13">
        <v>0</v>
      </c>
      <c r="AG13">
        <v>0</v>
      </c>
      <c r="AH13">
        <v>0</v>
      </c>
      <c r="AI13">
        <v>35</v>
      </c>
      <c r="AJ13">
        <v>2</v>
      </c>
      <c r="AK13" t="s">
        <v>72</v>
      </c>
      <c r="AL13" t="s">
        <v>73</v>
      </c>
      <c r="AM13" s="42" t="s">
        <v>73</v>
      </c>
      <c r="AN13" t="s">
        <v>364</v>
      </c>
      <c r="AO13" s="56">
        <v>46013.909756944442</v>
      </c>
      <c r="AP13" s="56">
        <v>46013.868090277778</v>
      </c>
      <c r="AQ13" t="s">
        <v>73</v>
      </c>
      <c r="AR13" t="s">
        <v>73</v>
      </c>
      <c r="AS13" t="s">
        <v>73</v>
      </c>
      <c r="AT13" t="s">
        <v>73</v>
      </c>
      <c r="AU13" t="s">
        <v>73</v>
      </c>
      <c r="AV13" t="s">
        <v>73</v>
      </c>
      <c r="AW13">
        <v>0</v>
      </c>
      <c r="AX13" t="s">
        <v>73</v>
      </c>
      <c r="AY13" t="s">
        <v>158</v>
      </c>
      <c r="AZ13" t="s">
        <v>158</v>
      </c>
      <c r="BA13" t="s">
        <v>158</v>
      </c>
      <c r="BB13"/>
      <c r="BC13"/>
    </row>
    <row r="14" spans="1:81" ht="32" x14ac:dyDescent="0.2">
      <c r="A14" t="s">
        <v>208</v>
      </c>
      <c r="B14" t="s">
        <v>330</v>
      </c>
      <c r="C14" t="s">
        <v>331</v>
      </c>
      <c r="D14" t="s">
        <v>73</v>
      </c>
      <c r="E14" t="s">
        <v>72</v>
      </c>
      <c r="F14" t="s">
        <v>73</v>
      </c>
      <c r="G14" t="s">
        <v>72</v>
      </c>
      <c r="H14" t="s">
        <v>72</v>
      </c>
      <c r="I14">
        <v>4</v>
      </c>
      <c r="Q14">
        <v>0</v>
      </c>
      <c r="R14">
        <v>0</v>
      </c>
      <c r="S14">
        <v>0</v>
      </c>
      <c r="T14">
        <v>0</v>
      </c>
      <c r="U14" t="s">
        <v>73</v>
      </c>
      <c r="V14">
        <v>6</v>
      </c>
      <c r="W14">
        <v>15</v>
      </c>
      <c r="X14">
        <v>2</v>
      </c>
      <c r="Y14">
        <v>1</v>
      </c>
      <c r="Z14">
        <v>0</v>
      </c>
      <c r="AA14">
        <v>0</v>
      </c>
      <c r="AB14">
        <v>1</v>
      </c>
      <c r="AC14" t="s">
        <v>73</v>
      </c>
      <c r="AD14">
        <v>0</v>
      </c>
      <c r="AE14">
        <v>0</v>
      </c>
      <c r="AF14">
        <v>0</v>
      </c>
      <c r="AG14">
        <v>0</v>
      </c>
      <c r="AH14">
        <v>0</v>
      </c>
      <c r="AI14">
        <v>45</v>
      </c>
      <c r="AJ14">
        <v>10</v>
      </c>
      <c r="AK14" t="s">
        <v>73</v>
      </c>
      <c r="AL14" t="s">
        <v>73</v>
      </c>
      <c r="AM14" s="42" t="s">
        <v>429</v>
      </c>
      <c r="AN14" t="s">
        <v>332</v>
      </c>
      <c r="AO14" s="56">
        <v>46013.663159722222</v>
      </c>
      <c r="AP14" s="56">
        <v>46020.814189814817</v>
      </c>
      <c r="AQ14" t="s">
        <v>73</v>
      </c>
      <c r="AR14" t="s">
        <v>73</v>
      </c>
      <c r="AS14" t="s">
        <v>73</v>
      </c>
      <c r="AT14" t="s">
        <v>73</v>
      </c>
      <c r="AU14" t="s">
        <v>73</v>
      </c>
      <c r="AV14" t="s">
        <v>73</v>
      </c>
      <c r="AW14">
        <v>0</v>
      </c>
      <c r="AX14" t="s">
        <v>75</v>
      </c>
      <c r="AY14" t="s">
        <v>333</v>
      </c>
      <c r="AZ14" t="s">
        <v>334</v>
      </c>
      <c r="BA14" t="s">
        <v>335</v>
      </c>
      <c r="BB14"/>
      <c r="BC14"/>
    </row>
    <row r="15" spans="1:81" ht="16" x14ac:dyDescent="0.2">
      <c r="A15" t="s">
        <v>208</v>
      </c>
      <c r="B15" t="s">
        <v>302</v>
      </c>
      <c r="C15" t="s">
        <v>303</v>
      </c>
      <c r="D15" t="s">
        <v>73</v>
      </c>
      <c r="E15" t="s">
        <v>72</v>
      </c>
      <c r="F15" t="s">
        <v>72</v>
      </c>
      <c r="G15" t="s">
        <v>73</v>
      </c>
      <c r="I15">
        <v>10</v>
      </c>
      <c r="Q15">
        <v>0</v>
      </c>
      <c r="R15">
        <v>0</v>
      </c>
      <c r="S15">
        <v>0</v>
      </c>
      <c r="T15">
        <v>0</v>
      </c>
      <c r="U15" t="s">
        <v>73</v>
      </c>
      <c r="V15">
        <v>0</v>
      </c>
      <c r="W15">
        <v>0</v>
      </c>
      <c r="X15">
        <v>5</v>
      </c>
      <c r="Y15">
        <v>5</v>
      </c>
      <c r="Z15">
        <v>0</v>
      </c>
      <c r="AA15">
        <v>0</v>
      </c>
      <c r="AB15">
        <v>0</v>
      </c>
      <c r="AC15" t="s">
        <v>73</v>
      </c>
      <c r="AD15">
        <v>0</v>
      </c>
      <c r="AE15">
        <v>0</v>
      </c>
      <c r="AF15">
        <v>0</v>
      </c>
      <c r="AG15">
        <v>0</v>
      </c>
      <c r="AH15">
        <v>0</v>
      </c>
      <c r="AI15">
        <v>65</v>
      </c>
      <c r="AJ15">
        <v>2</v>
      </c>
      <c r="AK15" t="s">
        <v>72</v>
      </c>
      <c r="AL15" t="s">
        <v>73</v>
      </c>
      <c r="AM15" s="42" t="s">
        <v>73</v>
      </c>
      <c r="AN15" t="s">
        <v>304</v>
      </c>
      <c r="AO15" s="56">
        <v>46011.04991898148</v>
      </c>
      <c r="AP15" s="56">
        <v>46044.741793981484</v>
      </c>
      <c r="AQ15" t="s">
        <v>73</v>
      </c>
      <c r="AR15" t="s">
        <v>73</v>
      </c>
      <c r="AS15" t="s">
        <v>73</v>
      </c>
      <c r="AT15" t="s">
        <v>73</v>
      </c>
      <c r="AU15" t="s">
        <v>73</v>
      </c>
      <c r="AV15" t="s">
        <v>73</v>
      </c>
      <c r="AW15">
        <v>0</v>
      </c>
      <c r="AX15" t="s">
        <v>73</v>
      </c>
      <c r="AY15" t="s">
        <v>158</v>
      </c>
      <c r="AZ15" t="s">
        <v>158</v>
      </c>
      <c r="BA15" t="s">
        <v>158</v>
      </c>
      <c r="BB15"/>
      <c r="BC15"/>
    </row>
    <row r="16" spans="1:81" ht="16" x14ac:dyDescent="0.2">
      <c r="A16" t="s">
        <v>208</v>
      </c>
      <c r="B16" t="s">
        <v>294</v>
      </c>
      <c r="C16" t="s">
        <v>295</v>
      </c>
      <c r="D16" t="s">
        <v>73</v>
      </c>
      <c r="E16" t="s">
        <v>72</v>
      </c>
      <c r="F16" t="s">
        <v>72</v>
      </c>
      <c r="G16" t="s">
        <v>73</v>
      </c>
      <c r="I16">
        <v>5</v>
      </c>
      <c r="Q16">
        <v>0</v>
      </c>
      <c r="R16">
        <v>0</v>
      </c>
      <c r="S16">
        <v>0</v>
      </c>
      <c r="T16">
        <v>0</v>
      </c>
      <c r="U16" t="s">
        <v>73</v>
      </c>
      <c r="V16">
        <v>0</v>
      </c>
      <c r="W16">
        <v>0</v>
      </c>
      <c r="X16">
        <v>0</v>
      </c>
      <c r="Y16">
        <v>0</v>
      </c>
      <c r="Z16">
        <v>0</v>
      </c>
      <c r="AA16">
        <v>0</v>
      </c>
      <c r="AB16">
        <v>0</v>
      </c>
      <c r="AC16" t="s">
        <v>73</v>
      </c>
      <c r="AD16">
        <v>0</v>
      </c>
      <c r="AE16">
        <v>0</v>
      </c>
      <c r="AF16">
        <v>0</v>
      </c>
      <c r="AG16">
        <v>0</v>
      </c>
      <c r="AH16">
        <v>0</v>
      </c>
      <c r="AI16">
        <v>20</v>
      </c>
      <c r="AJ16">
        <v>9</v>
      </c>
      <c r="AK16" t="s">
        <v>73</v>
      </c>
      <c r="AL16" t="s">
        <v>73</v>
      </c>
      <c r="AM16" s="42" t="s">
        <v>73</v>
      </c>
      <c r="AN16" t="s">
        <v>296</v>
      </c>
      <c r="AO16" s="56">
        <v>46007.917592592596</v>
      </c>
      <c r="AP16" s="56">
        <v>46007.875925925924</v>
      </c>
      <c r="AQ16" t="s">
        <v>73</v>
      </c>
      <c r="AR16" t="s">
        <v>73</v>
      </c>
      <c r="AS16" t="s">
        <v>73</v>
      </c>
      <c r="AT16" t="s">
        <v>73</v>
      </c>
      <c r="AU16" t="s">
        <v>73</v>
      </c>
      <c r="AV16" t="s">
        <v>73</v>
      </c>
      <c r="AW16">
        <v>0</v>
      </c>
      <c r="AX16" t="s">
        <v>73</v>
      </c>
      <c r="AY16" t="s">
        <v>158</v>
      </c>
      <c r="AZ16" t="s">
        <v>158</v>
      </c>
      <c r="BA16" t="s">
        <v>158</v>
      </c>
      <c r="BB16"/>
      <c r="BC16"/>
    </row>
    <row r="17" spans="1:55" ht="16" x14ac:dyDescent="0.2">
      <c r="A17" t="s">
        <v>208</v>
      </c>
      <c r="B17" t="s">
        <v>260</v>
      </c>
      <c r="C17" t="s">
        <v>261</v>
      </c>
      <c r="D17" t="s">
        <v>73</v>
      </c>
      <c r="E17" t="s">
        <v>72</v>
      </c>
      <c r="F17" t="s">
        <v>72</v>
      </c>
      <c r="G17" t="s">
        <v>73</v>
      </c>
      <c r="H17" t="s">
        <v>72</v>
      </c>
      <c r="I17">
        <v>5</v>
      </c>
      <c r="J17">
        <v>6</v>
      </c>
      <c r="Q17">
        <v>0</v>
      </c>
      <c r="R17">
        <v>0</v>
      </c>
      <c r="S17">
        <v>0</v>
      </c>
      <c r="T17">
        <v>0</v>
      </c>
      <c r="U17" t="s">
        <v>73</v>
      </c>
      <c r="V17">
        <v>3</v>
      </c>
      <c r="W17">
        <v>18</v>
      </c>
      <c r="X17">
        <v>3</v>
      </c>
      <c r="Y17">
        <v>3</v>
      </c>
      <c r="Z17">
        <v>0</v>
      </c>
      <c r="AA17">
        <v>0</v>
      </c>
      <c r="AB17">
        <v>0</v>
      </c>
      <c r="AC17" t="s">
        <v>73</v>
      </c>
      <c r="AD17">
        <v>0</v>
      </c>
      <c r="AE17">
        <v>0</v>
      </c>
      <c r="AF17">
        <v>0</v>
      </c>
      <c r="AG17">
        <v>0</v>
      </c>
      <c r="AH17">
        <v>0</v>
      </c>
      <c r="AI17">
        <v>105</v>
      </c>
      <c r="AJ17">
        <v>30</v>
      </c>
      <c r="AK17" t="s">
        <v>72</v>
      </c>
      <c r="AL17" t="s">
        <v>73</v>
      </c>
      <c r="AM17" s="42" t="s">
        <v>73</v>
      </c>
      <c r="AN17" t="s">
        <v>262</v>
      </c>
      <c r="AO17" s="56">
        <v>46006.741284722222</v>
      </c>
      <c r="AP17" s="56">
        <v>46006.720034722224</v>
      </c>
      <c r="AQ17" t="s">
        <v>73</v>
      </c>
      <c r="AR17" t="s">
        <v>73</v>
      </c>
      <c r="AS17" t="s">
        <v>73</v>
      </c>
      <c r="AT17" t="s">
        <v>73</v>
      </c>
      <c r="AU17" t="s">
        <v>73</v>
      </c>
      <c r="AV17" t="s">
        <v>73</v>
      </c>
      <c r="AW17">
        <v>0</v>
      </c>
      <c r="AX17" t="s">
        <v>75</v>
      </c>
      <c r="AY17" t="s">
        <v>263</v>
      </c>
      <c r="AZ17" t="s">
        <v>264</v>
      </c>
      <c r="BA17" t="s">
        <v>265</v>
      </c>
      <c r="BB17"/>
      <c r="BC17"/>
    </row>
    <row r="18" spans="1:55" ht="32" x14ac:dyDescent="0.2">
      <c r="A18" t="s">
        <v>208</v>
      </c>
      <c r="B18" t="s">
        <v>266</v>
      </c>
      <c r="C18" t="s">
        <v>267</v>
      </c>
      <c r="D18" t="s">
        <v>73</v>
      </c>
      <c r="E18" t="s">
        <v>72</v>
      </c>
      <c r="F18" t="s">
        <v>72</v>
      </c>
      <c r="G18" t="s">
        <v>73</v>
      </c>
      <c r="I18">
        <v>4</v>
      </c>
      <c r="N18">
        <v>4</v>
      </c>
      <c r="Q18">
        <v>0</v>
      </c>
      <c r="R18">
        <v>0</v>
      </c>
      <c r="S18">
        <v>0</v>
      </c>
      <c r="T18">
        <v>0</v>
      </c>
      <c r="U18" t="s">
        <v>73</v>
      </c>
      <c r="V18">
        <v>0</v>
      </c>
      <c r="W18">
        <v>0</v>
      </c>
      <c r="X18">
        <v>2</v>
      </c>
      <c r="Y18">
        <v>2</v>
      </c>
      <c r="Z18">
        <v>0</v>
      </c>
      <c r="AA18">
        <v>0</v>
      </c>
      <c r="AB18">
        <v>0</v>
      </c>
      <c r="AC18" t="s">
        <v>73</v>
      </c>
      <c r="AD18">
        <v>0</v>
      </c>
      <c r="AE18">
        <v>0</v>
      </c>
      <c r="AF18">
        <v>0</v>
      </c>
      <c r="AG18">
        <v>0</v>
      </c>
      <c r="AH18">
        <v>0</v>
      </c>
      <c r="AI18">
        <v>25</v>
      </c>
      <c r="AJ18">
        <v>0</v>
      </c>
      <c r="AK18" t="s">
        <v>73</v>
      </c>
      <c r="AL18" t="s">
        <v>73</v>
      </c>
      <c r="AM18" s="42" t="s">
        <v>268</v>
      </c>
      <c r="AN18" t="s">
        <v>269</v>
      </c>
      <c r="AO18" s="56">
        <v>46005.913182870368</v>
      </c>
      <c r="AP18" s="56">
        <v>46005.871516203704</v>
      </c>
      <c r="AQ18" t="s">
        <v>73</v>
      </c>
      <c r="AR18" t="s">
        <v>73</v>
      </c>
      <c r="AS18" t="s">
        <v>73</v>
      </c>
      <c r="AT18" t="s">
        <v>73</v>
      </c>
      <c r="AU18" t="s">
        <v>73</v>
      </c>
      <c r="AV18" t="s">
        <v>73</v>
      </c>
      <c r="AW18">
        <v>0</v>
      </c>
      <c r="AX18" t="s">
        <v>73</v>
      </c>
      <c r="AY18" t="s">
        <v>158</v>
      </c>
      <c r="AZ18" t="s">
        <v>158</v>
      </c>
      <c r="BA18" t="s">
        <v>158</v>
      </c>
      <c r="BB18"/>
      <c r="BC18"/>
    </row>
    <row r="19" spans="1:55" ht="16" x14ac:dyDescent="0.2">
      <c r="A19" t="s">
        <v>208</v>
      </c>
      <c r="B19" t="s">
        <v>232</v>
      </c>
      <c r="C19" t="s">
        <v>233</v>
      </c>
      <c r="D19" t="s">
        <v>73</v>
      </c>
      <c r="E19" t="s">
        <v>72</v>
      </c>
      <c r="F19" t="s">
        <v>73</v>
      </c>
      <c r="G19" t="s">
        <v>72</v>
      </c>
      <c r="H19" t="s">
        <v>72</v>
      </c>
      <c r="I19">
        <v>6</v>
      </c>
      <c r="Q19">
        <v>0</v>
      </c>
      <c r="R19">
        <v>0</v>
      </c>
      <c r="S19">
        <v>0</v>
      </c>
      <c r="T19">
        <v>0</v>
      </c>
      <c r="U19" t="s">
        <v>73</v>
      </c>
      <c r="V19">
        <v>5</v>
      </c>
      <c r="W19">
        <v>9</v>
      </c>
      <c r="X19">
        <v>2</v>
      </c>
      <c r="Y19">
        <v>2</v>
      </c>
      <c r="Z19">
        <v>0</v>
      </c>
      <c r="AA19">
        <v>0</v>
      </c>
      <c r="AB19">
        <v>0</v>
      </c>
      <c r="AC19" t="s">
        <v>73</v>
      </c>
      <c r="AD19">
        <v>0</v>
      </c>
      <c r="AE19">
        <v>0</v>
      </c>
      <c r="AF19">
        <v>0</v>
      </c>
      <c r="AG19">
        <v>0</v>
      </c>
      <c r="AH19">
        <v>0</v>
      </c>
      <c r="AI19">
        <v>60</v>
      </c>
      <c r="AJ19">
        <v>15</v>
      </c>
      <c r="AK19" t="s">
        <v>72</v>
      </c>
      <c r="AL19" t="s">
        <v>73</v>
      </c>
      <c r="AM19" s="42" t="s">
        <v>73</v>
      </c>
      <c r="AN19" t="s">
        <v>234</v>
      </c>
      <c r="AO19" s="56">
        <v>46003.884305555555</v>
      </c>
      <c r="AP19" s="56">
        <v>46044.742800925924</v>
      </c>
      <c r="AQ19" t="s">
        <v>73</v>
      </c>
      <c r="AR19" t="s">
        <v>73</v>
      </c>
      <c r="AS19" t="s">
        <v>73</v>
      </c>
      <c r="AT19" t="s">
        <v>73</v>
      </c>
      <c r="AU19" t="s">
        <v>73</v>
      </c>
      <c r="AV19" t="s">
        <v>73</v>
      </c>
      <c r="AW19">
        <v>0</v>
      </c>
      <c r="AX19" t="s">
        <v>75</v>
      </c>
      <c r="AY19" t="s">
        <v>235</v>
      </c>
      <c r="AZ19" t="s">
        <v>214</v>
      </c>
      <c r="BA19" t="s">
        <v>236</v>
      </c>
      <c r="BB19"/>
      <c r="BC19"/>
    </row>
    <row r="20" spans="1:55" ht="16" x14ac:dyDescent="0.2">
      <c r="A20" t="s">
        <v>208</v>
      </c>
      <c r="B20" t="s">
        <v>209</v>
      </c>
      <c r="C20" t="s">
        <v>210</v>
      </c>
      <c r="D20" t="s">
        <v>73</v>
      </c>
      <c r="E20" t="s">
        <v>72</v>
      </c>
      <c r="F20" t="s">
        <v>72</v>
      </c>
      <c r="G20" t="s">
        <v>72</v>
      </c>
      <c r="H20" t="s">
        <v>72</v>
      </c>
      <c r="I20">
        <v>8</v>
      </c>
      <c r="J20">
        <v>3</v>
      </c>
      <c r="N20">
        <v>4</v>
      </c>
      <c r="Q20">
        <v>3</v>
      </c>
      <c r="R20">
        <v>1</v>
      </c>
      <c r="S20">
        <v>2</v>
      </c>
      <c r="T20">
        <v>0</v>
      </c>
      <c r="U20" t="s">
        <v>73</v>
      </c>
      <c r="V20">
        <v>5</v>
      </c>
      <c r="W20">
        <v>20</v>
      </c>
      <c r="X20">
        <v>7</v>
      </c>
      <c r="Y20">
        <v>6</v>
      </c>
      <c r="Z20">
        <v>1</v>
      </c>
      <c r="AA20">
        <v>0</v>
      </c>
      <c r="AB20">
        <v>0</v>
      </c>
      <c r="AC20" t="s">
        <v>73</v>
      </c>
      <c r="AD20">
        <v>0</v>
      </c>
      <c r="AE20">
        <v>0</v>
      </c>
      <c r="AF20">
        <v>0</v>
      </c>
      <c r="AG20">
        <v>0</v>
      </c>
      <c r="AH20">
        <v>0</v>
      </c>
      <c r="AI20">
        <v>75</v>
      </c>
      <c r="AJ20">
        <v>27</v>
      </c>
      <c r="AK20" t="s">
        <v>72</v>
      </c>
      <c r="AL20" t="s">
        <v>73</v>
      </c>
      <c r="AM20" s="42" t="s">
        <v>73</v>
      </c>
      <c r="AN20" t="s">
        <v>211</v>
      </c>
      <c r="AO20" s="56">
        <v>46002.935590277775</v>
      </c>
      <c r="AP20" s="56">
        <v>46018.824548611112</v>
      </c>
      <c r="AQ20" t="s">
        <v>73</v>
      </c>
      <c r="AR20" t="s">
        <v>73</v>
      </c>
      <c r="AS20" t="s">
        <v>73</v>
      </c>
      <c r="AT20" t="s">
        <v>73</v>
      </c>
      <c r="AU20" t="s">
        <v>73</v>
      </c>
      <c r="AV20" t="s">
        <v>73</v>
      </c>
      <c r="AW20">
        <v>0</v>
      </c>
      <c r="AX20" t="s">
        <v>75</v>
      </c>
      <c r="AY20" t="s">
        <v>213</v>
      </c>
      <c r="AZ20" t="s">
        <v>214</v>
      </c>
      <c r="BA20" t="s">
        <v>215</v>
      </c>
      <c r="BB20"/>
      <c r="BC20"/>
    </row>
    <row r="21" spans="1:55" ht="16" x14ac:dyDescent="0.2">
      <c r="A21" t="s">
        <v>153</v>
      </c>
      <c r="B21" t="s">
        <v>294</v>
      </c>
      <c r="C21" t="s">
        <v>295</v>
      </c>
      <c r="D21" t="s">
        <v>73</v>
      </c>
      <c r="E21" t="s">
        <v>72</v>
      </c>
      <c r="F21" t="s">
        <v>72</v>
      </c>
      <c r="G21" t="s">
        <v>73</v>
      </c>
      <c r="I21">
        <v>4</v>
      </c>
      <c r="Q21">
        <v>0</v>
      </c>
      <c r="R21">
        <v>0</v>
      </c>
      <c r="S21">
        <v>0</v>
      </c>
      <c r="T21">
        <v>0</v>
      </c>
      <c r="U21" t="s">
        <v>73</v>
      </c>
      <c r="V21">
        <v>0</v>
      </c>
      <c r="W21">
        <v>0</v>
      </c>
      <c r="X21">
        <v>0</v>
      </c>
      <c r="Y21">
        <v>0</v>
      </c>
      <c r="Z21">
        <v>0</v>
      </c>
      <c r="AA21">
        <v>0</v>
      </c>
      <c r="AB21">
        <v>0</v>
      </c>
      <c r="AC21" t="s">
        <v>73</v>
      </c>
      <c r="AD21">
        <v>0</v>
      </c>
      <c r="AE21">
        <v>0</v>
      </c>
      <c r="AF21">
        <v>0</v>
      </c>
      <c r="AG21">
        <v>0</v>
      </c>
      <c r="AH21">
        <v>0</v>
      </c>
      <c r="AI21">
        <v>15</v>
      </c>
      <c r="AJ21">
        <v>10</v>
      </c>
      <c r="AK21" t="s">
        <v>73</v>
      </c>
      <c r="AL21" t="s">
        <v>73</v>
      </c>
      <c r="AM21" s="42" t="s">
        <v>73</v>
      </c>
      <c r="AN21" t="s">
        <v>450</v>
      </c>
      <c r="AO21" s="56">
        <v>46022.69935185185</v>
      </c>
      <c r="AP21" s="56">
        <v>46022.657685185186</v>
      </c>
      <c r="AQ21" t="s">
        <v>73</v>
      </c>
      <c r="AR21" t="s">
        <v>73</v>
      </c>
      <c r="AS21" t="s">
        <v>73</v>
      </c>
      <c r="AT21" t="s">
        <v>73</v>
      </c>
      <c r="AU21" t="s">
        <v>73</v>
      </c>
      <c r="AV21" t="s">
        <v>73</v>
      </c>
      <c r="AW21">
        <v>0</v>
      </c>
      <c r="AX21" t="s">
        <v>73</v>
      </c>
      <c r="AY21" t="s">
        <v>158</v>
      </c>
      <c r="AZ21" t="s">
        <v>158</v>
      </c>
      <c r="BA21" t="s">
        <v>158</v>
      </c>
      <c r="BB21"/>
      <c r="BC21"/>
    </row>
    <row r="22" spans="1:55" ht="64" x14ac:dyDescent="0.2">
      <c r="A22" t="s">
        <v>153</v>
      </c>
      <c r="B22" t="s">
        <v>330</v>
      </c>
      <c r="C22" t="s">
        <v>331</v>
      </c>
      <c r="D22" t="s">
        <v>72</v>
      </c>
      <c r="E22" t="s">
        <v>73</v>
      </c>
      <c r="F22" t="s">
        <v>73</v>
      </c>
      <c r="G22" t="s">
        <v>73</v>
      </c>
      <c r="Q22">
        <v>0</v>
      </c>
      <c r="R22">
        <v>0</v>
      </c>
      <c r="S22">
        <v>0</v>
      </c>
      <c r="T22">
        <v>0</v>
      </c>
      <c r="U22" t="s">
        <v>73</v>
      </c>
      <c r="V22">
        <v>0</v>
      </c>
      <c r="W22">
        <v>0</v>
      </c>
      <c r="X22">
        <v>0</v>
      </c>
      <c r="Y22">
        <v>0</v>
      </c>
      <c r="Z22">
        <v>0</v>
      </c>
      <c r="AA22">
        <v>0</v>
      </c>
      <c r="AB22">
        <v>0</v>
      </c>
      <c r="AC22" t="s">
        <v>73</v>
      </c>
      <c r="AD22">
        <v>0</v>
      </c>
      <c r="AE22">
        <v>0</v>
      </c>
      <c r="AF22">
        <v>0</v>
      </c>
      <c r="AG22">
        <v>0</v>
      </c>
      <c r="AH22">
        <v>0</v>
      </c>
      <c r="AI22">
        <v>10</v>
      </c>
      <c r="AJ22">
        <v>0</v>
      </c>
      <c r="AK22" t="s">
        <v>73</v>
      </c>
      <c r="AL22" t="s">
        <v>73</v>
      </c>
      <c r="AM22" s="42" t="s">
        <v>433</v>
      </c>
      <c r="AN22" t="s">
        <v>434</v>
      </c>
      <c r="AO22" s="56">
        <v>46020.842615740738</v>
      </c>
      <c r="AP22" s="56">
        <v>46020.894224537034</v>
      </c>
      <c r="AQ22" t="s">
        <v>73</v>
      </c>
      <c r="AR22" t="s">
        <v>73</v>
      </c>
      <c r="AS22" t="s">
        <v>73</v>
      </c>
      <c r="AT22" t="s">
        <v>73</v>
      </c>
      <c r="AU22" t="s">
        <v>73</v>
      </c>
      <c r="AV22" t="s">
        <v>73</v>
      </c>
      <c r="AW22">
        <v>0</v>
      </c>
      <c r="AX22" t="s">
        <v>73</v>
      </c>
      <c r="AY22" t="s">
        <v>158</v>
      </c>
      <c r="AZ22" t="s">
        <v>158</v>
      </c>
      <c r="BA22" t="s">
        <v>158</v>
      </c>
      <c r="BB22"/>
      <c r="BC22"/>
    </row>
    <row r="23" spans="1:55" ht="32" x14ac:dyDescent="0.2">
      <c r="A23" t="s">
        <v>153</v>
      </c>
      <c r="B23" t="s">
        <v>291</v>
      </c>
      <c r="C23" t="s">
        <v>292</v>
      </c>
      <c r="D23" t="s">
        <v>73</v>
      </c>
      <c r="E23" t="s">
        <v>73</v>
      </c>
      <c r="F23" t="s">
        <v>73</v>
      </c>
      <c r="G23" t="s">
        <v>72</v>
      </c>
      <c r="H23" t="s">
        <v>72</v>
      </c>
      <c r="I23">
        <v>6</v>
      </c>
      <c r="Q23">
        <v>0</v>
      </c>
      <c r="R23">
        <v>0</v>
      </c>
      <c r="S23">
        <v>0</v>
      </c>
      <c r="T23">
        <v>0</v>
      </c>
      <c r="U23" t="s">
        <v>73</v>
      </c>
      <c r="V23">
        <v>3</v>
      </c>
      <c r="W23">
        <v>8</v>
      </c>
      <c r="X23">
        <v>0</v>
      </c>
      <c r="Y23">
        <v>0</v>
      </c>
      <c r="Z23">
        <v>0</v>
      </c>
      <c r="AA23">
        <v>0</v>
      </c>
      <c r="AB23">
        <v>0</v>
      </c>
      <c r="AC23" t="s">
        <v>73</v>
      </c>
      <c r="AD23">
        <v>0</v>
      </c>
      <c r="AE23">
        <v>0</v>
      </c>
      <c r="AF23">
        <v>0</v>
      </c>
      <c r="AG23">
        <v>0</v>
      </c>
      <c r="AH23">
        <v>0</v>
      </c>
      <c r="AI23">
        <v>15</v>
      </c>
      <c r="AJ23">
        <v>5</v>
      </c>
      <c r="AK23" t="s">
        <v>73</v>
      </c>
      <c r="AL23" t="s">
        <v>73</v>
      </c>
      <c r="AM23" s="42" t="s">
        <v>420</v>
      </c>
      <c r="AN23" t="s">
        <v>421</v>
      </c>
      <c r="AO23" s="56">
        <v>46019.812615740739</v>
      </c>
      <c r="AP23" s="56">
        <v>46044.745150462964</v>
      </c>
      <c r="AQ23" t="s">
        <v>73</v>
      </c>
      <c r="AR23" t="s">
        <v>73</v>
      </c>
      <c r="AS23" t="s">
        <v>73</v>
      </c>
      <c r="AT23" t="s">
        <v>73</v>
      </c>
      <c r="AU23" t="s">
        <v>73</v>
      </c>
      <c r="AV23" t="s">
        <v>73</v>
      </c>
      <c r="AW23">
        <v>0</v>
      </c>
      <c r="AX23" t="s">
        <v>75</v>
      </c>
      <c r="AY23" t="s">
        <v>422</v>
      </c>
      <c r="AZ23" t="s">
        <v>245</v>
      </c>
      <c r="BA23" t="s">
        <v>423</v>
      </c>
      <c r="BB23"/>
      <c r="BC23"/>
    </row>
    <row r="24" spans="1:55" ht="16" x14ac:dyDescent="0.2">
      <c r="A24" t="s">
        <v>153</v>
      </c>
      <c r="B24" t="s">
        <v>407</v>
      </c>
      <c r="C24" t="s">
        <v>408</v>
      </c>
      <c r="D24" t="s">
        <v>73</v>
      </c>
      <c r="E24" t="s">
        <v>72</v>
      </c>
      <c r="F24" t="s">
        <v>72</v>
      </c>
      <c r="G24" t="s">
        <v>73</v>
      </c>
      <c r="Q24">
        <v>0</v>
      </c>
      <c r="R24">
        <v>0</v>
      </c>
      <c r="S24">
        <v>0</v>
      </c>
      <c r="T24">
        <v>0</v>
      </c>
      <c r="U24" t="s">
        <v>73</v>
      </c>
      <c r="V24">
        <v>0</v>
      </c>
      <c r="W24">
        <v>0</v>
      </c>
      <c r="X24">
        <v>0</v>
      </c>
      <c r="Y24">
        <v>0</v>
      </c>
      <c r="Z24">
        <v>0</v>
      </c>
      <c r="AA24">
        <v>0</v>
      </c>
      <c r="AB24">
        <v>0</v>
      </c>
      <c r="AC24" t="s">
        <v>73</v>
      </c>
      <c r="AD24">
        <v>6</v>
      </c>
      <c r="AE24">
        <v>6</v>
      </c>
      <c r="AF24">
        <v>6</v>
      </c>
      <c r="AG24">
        <v>6</v>
      </c>
      <c r="AH24">
        <v>1</v>
      </c>
      <c r="AI24">
        <v>20</v>
      </c>
      <c r="AJ24">
        <v>4</v>
      </c>
      <c r="AK24" t="s">
        <v>73</v>
      </c>
      <c r="AL24" t="s">
        <v>73</v>
      </c>
      <c r="AM24" s="42" t="s">
        <v>73</v>
      </c>
      <c r="AN24" t="s">
        <v>409</v>
      </c>
      <c r="AO24" s="56">
        <v>46019.467060185183</v>
      </c>
      <c r="AP24" s="56">
        <v>46019.425393518519</v>
      </c>
      <c r="AQ24" t="s">
        <v>73</v>
      </c>
      <c r="AR24" t="s">
        <v>73</v>
      </c>
      <c r="AS24" t="s">
        <v>73</v>
      </c>
      <c r="AT24" t="s">
        <v>73</v>
      </c>
      <c r="AU24" t="s">
        <v>73</v>
      </c>
      <c r="AV24" t="s">
        <v>73</v>
      </c>
      <c r="AW24">
        <v>0</v>
      </c>
      <c r="AX24" t="s">
        <v>73</v>
      </c>
      <c r="AY24" t="s">
        <v>158</v>
      </c>
      <c r="AZ24" t="s">
        <v>158</v>
      </c>
      <c r="BA24" t="s">
        <v>158</v>
      </c>
      <c r="BB24"/>
      <c r="BC24"/>
    </row>
    <row r="25" spans="1:55" ht="16" x14ac:dyDescent="0.2">
      <c r="A25" t="s">
        <v>153</v>
      </c>
      <c r="B25" t="s">
        <v>399</v>
      </c>
      <c r="C25" t="s">
        <v>400</v>
      </c>
      <c r="D25" t="s">
        <v>73</v>
      </c>
      <c r="E25" t="s">
        <v>72</v>
      </c>
      <c r="F25" t="s">
        <v>72</v>
      </c>
      <c r="G25" t="s">
        <v>73</v>
      </c>
      <c r="I25">
        <v>8</v>
      </c>
      <c r="N25">
        <v>4</v>
      </c>
      <c r="Q25">
        <v>2</v>
      </c>
      <c r="R25">
        <v>2</v>
      </c>
      <c r="S25">
        <v>0</v>
      </c>
      <c r="T25">
        <v>0</v>
      </c>
      <c r="U25" t="s">
        <v>72</v>
      </c>
      <c r="V25">
        <v>0</v>
      </c>
      <c r="W25">
        <v>0</v>
      </c>
      <c r="X25">
        <v>3</v>
      </c>
      <c r="Y25">
        <v>3</v>
      </c>
      <c r="Z25">
        <v>0</v>
      </c>
      <c r="AA25">
        <v>0</v>
      </c>
      <c r="AB25">
        <v>0</v>
      </c>
      <c r="AC25" t="s">
        <v>73</v>
      </c>
      <c r="AD25">
        <v>6</v>
      </c>
      <c r="AE25">
        <v>6</v>
      </c>
      <c r="AF25">
        <v>0</v>
      </c>
      <c r="AG25">
        <v>6</v>
      </c>
      <c r="AH25">
        <v>1</v>
      </c>
      <c r="AI25">
        <v>65</v>
      </c>
      <c r="AJ25">
        <v>5</v>
      </c>
      <c r="AK25" t="s">
        <v>73</v>
      </c>
      <c r="AL25" t="s">
        <v>73</v>
      </c>
      <c r="AM25" s="42" t="s">
        <v>73</v>
      </c>
      <c r="AN25" t="s">
        <v>401</v>
      </c>
      <c r="AO25" s="56">
        <v>46018.568622685183</v>
      </c>
      <c r="AP25" s="56">
        <v>46018.526956018519</v>
      </c>
      <c r="AQ25" t="s">
        <v>400</v>
      </c>
      <c r="AR25" t="s">
        <v>78</v>
      </c>
      <c r="AS25" t="s">
        <v>179</v>
      </c>
      <c r="AT25" t="s">
        <v>219</v>
      </c>
      <c r="AU25" t="s">
        <v>402</v>
      </c>
      <c r="AV25" t="s">
        <v>402</v>
      </c>
      <c r="AW25">
        <v>35</v>
      </c>
      <c r="AX25" t="s">
        <v>73</v>
      </c>
      <c r="AY25" t="s">
        <v>158</v>
      </c>
      <c r="AZ25" t="s">
        <v>158</v>
      </c>
      <c r="BA25" t="s">
        <v>158</v>
      </c>
      <c r="BB25"/>
      <c r="BC25"/>
    </row>
    <row r="26" spans="1:55" ht="16" x14ac:dyDescent="0.2">
      <c r="A26" t="s">
        <v>153</v>
      </c>
      <c r="B26" t="s">
        <v>353</v>
      </c>
      <c r="C26" t="s">
        <v>354</v>
      </c>
      <c r="D26" t="s">
        <v>73</v>
      </c>
      <c r="E26" t="s">
        <v>72</v>
      </c>
      <c r="F26" t="s">
        <v>72</v>
      </c>
      <c r="G26" t="s">
        <v>73</v>
      </c>
      <c r="I26">
        <v>6</v>
      </c>
      <c r="L26">
        <v>7</v>
      </c>
      <c r="Q26">
        <v>0</v>
      </c>
      <c r="R26">
        <v>0</v>
      </c>
      <c r="S26">
        <v>0</v>
      </c>
      <c r="T26">
        <v>0</v>
      </c>
      <c r="U26" t="s">
        <v>73</v>
      </c>
      <c r="V26">
        <v>0</v>
      </c>
      <c r="W26">
        <v>0</v>
      </c>
      <c r="X26">
        <v>4</v>
      </c>
      <c r="Y26">
        <v>4</v>
      </c>
      <c r="Z26">
        <v>0</v>
      </c>
      <c r="AA26">
        <v>0</v>
      </c>
      <c r="AB26">
        <v>0</v>
      </c>
      <c r="AC26" t="s">
        <v>72</v>
      </c>
      <c r="AD26">
        <v>4</v>
      </c>
      <c r="AE26">
        <v>4</v>
      </c>
      <c r="AF26">
        <v>0</v>
      </c>
      <c r="AG26">
        <v>0</v>
      </c>
      <c r="AH26">
        <v>0</v>
      </c>
      <c r="AI26">
        <v>80</v>
      </c>
      <c r="AJ26">
        <v>16</v>
      </c>
      <c r="AK26" t="s">
        <v>73</v>
      </c>
      <c r="AL26" t="s">
        <v>73</v>
      </c>
      <c r="AM26" s="42" t="s">
        <v>73</v>
      </c>
      <c r="AN26" t="s">
        <v>371</v>
      </c>
      <c r="AO26" s="56">
        <v>46015.467453703706</v>
      </c>
      <c r="AP26" s="56">
        <v>46020.429606481484</v>
      </c>
      <c r="AQ26" t="s">
        <v>73</v>
      </c>
      <c r="AR26" t="s">
        <v>73</v>
      </c>
      <c r="AS26" t="s">
        <v>73</v>
      </c>
      <c r="AT26" t="s">
        <v>73</v>
      </c>
      <c r="AU26" t="s">
        <v>73</v>
      </c>
      <c r="AV26" t="s">
        <v>73</v>
      </c>
      <c r="AW26">
        <v>0</v>
      </c>
      <c r="AX26" t="s">
        <v>73</v>
      </c>
      <c r="AY26" t="s">
        <v>158</v>
      </c>
      <c r="AZ26" t="s">
        <v>158</v>
      </c>
      <c r="BA26" t="s">
        <v>158</v>
      </c>
      <c r="BB26"/>
      <c r="BC26"/>
    </row>
    <row r="27" spans="1:55" ht="16" x14ac:dyDescent="0.2">
      <c r="A27" t="s">
        <v>153</v>
      </c>
      <c r="B27" t="s">
        <v>206</v>
      </c>
      <c r="C27" t="s">
        <v>207</v>
      </c>
      <c r="D27" t="s">
        <v>73</v>
      </c>
      <c r="E27" t="s">
        <v>72</v>
      </c>
      <c r="F27" t="s">
        <v>72</v>
      </c>
      <c r="G27" t="s">
        <v>73</v>
      </c>
      <c r="H27" t="s">
        <v>72</v>
      </c>
      <c r="I27">
        <v>7</v>
      </c>
      <c r="J27">
        <v>3</v>
      </c>
      <c r="Q27">
        <v>1</v>
      </c>
      <c r="R27">
        <v>1</v>
      </c>
      <c r="S27">
        <v>0</v>
      </c>
      <c r="T27">
        <v>0</v>
      </c>
      <c r="U27" t="s">
        <v>73</v>
      </c>
      <c r="V27">
        <v>7</v>
      </c>
      <c r="W27">
        <v>10</v>
      </c>
      <c r="X27">
        <v>0</v>
      </c>
      <c r="Y27">
        <v>0</v>
      </c>
      <c r="Z27">
        <v>0</v>
      </c>
      <c r="AA27">
        <v>0</v>
      </c>
      <c r="AB27">
        <v>0</v>
      </c>
      <c r="AC27" t="s">
        <v>73</v>
      </c>
      <c r="AD27">
        <v>6</v>
      </c>
      <c r="AE27">
        <v>6</v>
      </c>
      <c r="AF27">
        <v>0</v>
      </c>
      <c r="AG27">
        <v>6</v>
      </c>
      <c r="AH27">
        <v>4</v>
      </c>
      <c r="AI27">
        <v>45</v>
      </c>
      <c r="AJ27">
        <v>16</v>
      </c>
      <c r="AK27" t="s">
        <v>73</v>
      </c>
      <c r="AL27" t="s">
        <v>73</v>
      </c>
      <c r="AM27" s="42" t="s">
        <v>73</v>
      </c>
      <c r="AN27" t="s">
        <v>372</v>
      </c>
      <c r="AO27" s="56">
        <v>46014.895694444444</v>
      </c>
      <c r="AP27" s="56">
        <v>46014.87027777778</v>
      </c>
      <c r="AQ27" t="s">
        <v>73</v>
      </c>
      <c r="AR27" t="s">
        <v>73</v>
      </c>
      <c r="AS27" t="s">
        <v>73</v>
      </c>
      <c r="AT27" t="s">
        <v>73</v>
      </c>
      <c r="AU27" t="s">
        <v>73</v>
      </c>
      <c r="AV27" t="s">
        <v>73</v>
      </c>
      <c r="AW27">
        <v>0</v>
      </c>
      <c r="AX27" t="s">
        <v>75</v>
      </c>
      <c r="AY27" t="s">
        <v>373</v>
      </c>
      <c r="AZ27" t="s">
        <v>374</v>
      </c>
      <c r="BA27" t="s">
        <v>375</v>
      </c>
      <c r="BB27"/>
      <c r="BC27"/>
    </row>
    <row r="28" spans="1:55" ht="16" x14ac:dyDescent="0.2">
      <c r="A28" t="s">
        <v>153</v>
      </c>
      <c r="B28" t="s">
        <v>376</v>
      </c>
      <c r="C28" t="s">
        <v>377</v>
      </c>
      <c r="D28" t="s">
        <v>73</v>
      </c>
      <c r="E28" t="s">
        <v>72</v>
      </c>
      <c r="F28" t="s">
        <v>73</v>
      </c>
      <c r="G28" t="s">
        <v>73</v>
      </c>
      <c r="I28">
        <v>6</v>
      </c>
      <c r="Q28">
        <v>0</v>
      </c>
      <c r="R28">
        <v>0</v>
      </c>
      <c r="S28">
        <v>0</v>
      </c>
      <c r="T28">
        <v>0</v>
      </c>
      <c r="U28" t="s">
        <v>73</v>
      </c>
      <c r="V28">
        <v>0</v>
      </c>
      <c r="W28">
        <v>0</v>
      </c>
      <c r="X28">
        <v>0</v>
      </c>
      <c r="Y28">
        <v>0</v>
      </c>
      <c r="Z28">
        <v>0</v>
      </c>
      <c r="AA28">
        <v>0</v>
      </c>
      <c r="AB28">
        <v>0</v>
      </c>
      <c r="AC28" t="s">
        <v>73</v>
      </c>
      <c r="AD28">
        <v>4</v>
      </c>
      <c r="AE28">
        <v>0</v>
      </c>
      <c r="AF28">
        <v>0</v>
      </c>
      <c r="AG28">
        <v>0</v>
      </c>
      <c r="AH28">
        <v>0</v>
      </c>
      <c r="AI28">
        <v>25</v>
      </c>
      <c r="AJ28">
        <v>2</v>
      </c>
      <c r="AK28" t="s">
        <v>73</v>
      </c>
      <c r="AL28" t="s">
        <v>73</v>
      </c>
      <c r="AM28" s="42" t="s">
        <v>73</v>
      </c>
      <c r="AN28" t="s">
        <v>378</v>
      </c>
      <c r="AO28" s="56">
        <v>46014.850069444445</v>
      </c>
      <c r="AP28" s="56">
        <v>46014.80840277778</v>
      </c>
      <c r="AQ28" t="s">
        <v>73</v>
      </c>
      <c r="AR28" t="s">
        <v>73</v>
      </c>
      <c r="AS28" t="s">
        <v>73</v>
      </c>
      <c r="AT28" t="s">
        <v>73</v>
      </c>
      <c r="AU28" t="s">
        <v>73</v>
      </c>
      <c r="AV28" t="s">
        <v>73</v>
      </c>
      <c r="AW28">
        <v>0</v>
      </c>
      <c r="AX28" t="s">
        <v>73</v>
      </c>
      <c r="AY28" t="s">
        <v>158</v>
      </c>
      <c r="AZ28" t="s">
        <v>158</v>
      </c>
      <c r="BA28" t="s">
        <v>158</v>
      </c>
      <c r="BB28"/>
      <c r="BC28"/>
    </row>
    <row r="29" spans="1:55" ht="16" x14ac:dyDescent="0.2">
      <c r="A29" t="s">
        <v>153</v>
      </c>
      <c r="B29" t="s">
        <v>379</v>
      </c>
      <c r="C29" t="s">
        <v>380</v>
      </c>
      <c r="D29" t="s">
        <v>73</v>
      </c>
      <c r="E29" t="s">
        <v>72</v>
      </c>
      <c r="F29" t="s">
        <v>72</v>
      </c>
      <c r="G29" t="s">
        <v>73</v>
      </c>
      <c r="I29">
        <v>5</v>
      </c>
      <c r="Q29">
        <v>0</v>
      </c>
      <c r="R29">
        <v>0</v>
      </c>
      <c r="S29">
        <v>0</v>
      </c>
      <c r="T29">
        <v>0</v>
      </c>
      <c r="U29" t="s">
        <v>72</v>
      </c>
      <c r="V29">
        <v>0</v>
      </c>
      <c r="W29">
        <v>0</v>
      </c>
      <c r="X29">
        <v>0</v>
      </c>
      <c r="Y29">
        <v>0</v>
      </c>
      <c r="Z29">
        <v>0</v>
      </c>
      <c r="AA29">
        <v>0</v>
      </c>
      <c r="AB29">
        <v>0</v>
      </c>
      <c r="AC29" t="s">
        <v>73</v>
      </c>
      <c r="AD29">
        <v>6</v>
      </c>
      <c r="AE29">
        <v>6</v>
      </c>
      <c r="AF29">
        <v>0</v>
      </c>
      <c r="AG29">
        <v>6</v>
      </c>
      <c r="AH29">
        <v>0</v>
      </c>
      <c r="AI29">
        <v>45</v>
      </c>
      <c r="AJ29">
        <v>0</v>
      </c>
      <c r="AK29" t="s">
        <v>73</v>
      </c>
      <c r="AL29" t="s">
        <v>73</v>
      </c>
      <c r="AM29" s="42" t="s">
        <v>73</v>
      </c>
      <c r="AN29" t="s">
        <v>381</v>
      </c>
      <c r="AO29" s="56">
        <v>46014.804375</v>
      </c>
      <c r="AP29" s="56">
        <v>46014.762708333335</v>
      </c>
      <c r="AQ29" t="s">
        <v>380</v>
      </c>
      <c r="AR29" t="s">
        <v>78</v>
      </c>
      <c r="AS29" t="s">
        <v>76</v>
      </c>
      <c r="AT29" t="s">
        <v>77</v>
      </c>
      <c r="AU29" t="s">
        <v>382</v>
      </c>
      <c r="AV29" t="s">
        <v>383</v>
      </c>
      <c r="AW29">
        <v>30</v>
      </c>
      <c r="AX29" t="s">
        <v>73</v>
      </c>
      <c r="AY29" t="s">
        <v>158</v>
      </c>
      <c r="AZ29" t="s">
        <v>158</v>
      </c>
      <c r="BA29" t="s">
        <v>158</v>
      </c>
      <c r="BB29"/>
      <c r="BC29"/>
    </row>
    <row r="30" spans="1:55" ht="32" x14ac:dyDescent="0.2">
      <c r="A30" t="s">
        <v>153</v>
      </c>
      <c r="B30" t="s">
        <v>322</v>
      </c>
      <c r="C30" t="s">
        <v>323</v>
      </c>
      <c r="D30" t="s">
        <v>73</v>
      </c>
      <c r="E30" t="s">
        <v>72</v>
      </c>
      <c r="F30" t="s">
        <v>72</v>
      </c>
      <c r="G30" t="s">
        <v>73</v>
      </c>
      <c r="I30">
        <v>6</v>
      </c>
      <c r="Q30">
        <v>3</v>
      </c>
      <c r="R30">
        <v>2</v>
      </c>
      <c r="S30">
        <v>1</v>
      </c>
      <c r="T30">
        <v>0</v>
      </c>
      <c r="U30" t="s">
        <v>72</v>
      </c>
      <c r="V30">
        <v>0</v>
      </c>
      <c r="W30">
        <v>0</v>
      </c>
      <c r="X30">
        <v>0</v>
      </c>
      <c r="Y30">
        <v>0</v>
      </c>
      <c r="Z30">
        <v>0</v>
      </c>
      <c r="AA30">
        <v>0</v>
      </c>
      <c r="AB30">
        <v>0</v>
      </c>
      <c r="AC30" t="s">
        <v>72</v>
      </c>
      <c r="AD30">
        <v>6</v>
      </c>
      <c r="AE30">
        <v>6</v>
      </c>
      <c r="AF30">
        <v>0</v>
      </c>
      <c r="AG30">
        <v>6</v>
      </c>
      <c r="AH30">
        <v>0</v>
      </c>
      <c r="AI30">
        <v>55</v>
      </c>
      <c r="AJ30">
        <v>1</v>
      </c>
      <c r="AK30" t="s">
        <v>73</v>
      </c>
      <c r="AL30" t="s">
        <v>73</v>
      </c>
      <c r="AM30" s="42" t="s">
        <v>324</v>
      </c>
      <c r="AN30" t="s">
        <v>325</v>
      </c>
      <c r="AO30" s="56">
        <v>46011.823935185188</v>
      </c>
      <c r="AP30" s="56">
        <v>46011.782268518517</v>
      </c>
      <c r="AQ30" t="s">
        <v>323</v>
      </c>
      <c r="AR30" t="s">
        <v>78</v>
      </c>
      <c r="AS30" t="s">
        <v>179</v>
      </c>
      <c r="AT30" t="s">
        <v>77</v>
      </c>
      <c r="AU30" t="s">
        <v>326</v>
      </c>
      <c r="AV30" t="s">
        <v>327</v>
      </c>
      <c r="AW30">
        <v>35</v>
      </c>
      <c r="AX30" t="s">
        <v>73</v>
      </c>
      <c r="AY30" t="s">
        <v>158</v>
      </c>
      <c r="AZ30" t="s">
        <v>158</v>
      </c>
      <c r="BA30" t="s">
        <v>158</v>
      </c>
      <c r="BB30"/>
      <c r="BC30"/>
    </row>
    <row r="31" spans="1:55" ht="48" x14ac:dyDescent="0.2">
      <c r="A31" t="s">
        <v>153</v>
      </c>
      <c r="B31" t="s">
        <v>305</v>
      </c>
      <c r="C31" t="s">
        <v>306</v>
      </c>
      <c r="D31" t="s">
        <v>73</v>
      </c>
      <c r="E31" t="s">
        <v>72</v>
      </c>
      <c r="F31" t="s">
        <v>72</v>
      </c>
      <c r="G31" t="s">
        <v>72</v>
      </c>
      <c r="H31" t="s">
        <v>72</v>
      </c>
      <c r="I31">
        <v>10</v>
      </c>
      <c r="L31">
        <v>13</v>
      </c>
      <c r="M31">
        <v>0</v>
      </c>
      <c r="Q31">
        <v>0</v>
      </c>
      <c r="R31">
        <v>0</v>
      </c>
      <c r="S31">
        <v>0</v>
      </c>
      <c r="T31">
        <v>0</v>
      </c>
      <c r="U31" t="s">
        <v>72</v>
      </c>
      <c r="V31">
        <v>6</v>
      </c>
      <c r="W31">
        <v>11</v>
      </c>
      <c r="X31">
        <v>1</v>
      </c>
      <c r="Y31">
        <v>1</v>
      </c>
      <c r="Z31">
        <v>0</v>
      </c>
      <c r="AA31">
        <v>0</v>
      </c>
      <c r="AB31">
        <v>0</v>
      </c>
      <c r="AC31" t="s">
        <v>72</v>
      </c>
      <c r="AD31">
        <v>6</v>
      </c>
      <c r="AE31">
        <v>0</v>
      </c>
      <c r="AF31">
        <v>0</v>
      </c>
      <c r="AG31">
        <v>6</v>
      </c>
      <c r="AH31">
        <v>0</v>
      </c>
      <c r="AI31">
        <v>12</v>
      </c>
      <c r="AJ31">
        <v>1</v>
      </c>
      <c r="AK31" t="s">
        <v>73</v>
      </c>
      <c r="AL31" t="s">
        <v>73</v>
      </c>
      <c r="AM31" s="42" t="s">
        <v>453</v>
      </c>
      <c r="AN31" t="s">
        <v>307</v>
      </c>
      <c r="AO31" s="56">
        <v>46011.564583333333</v>
      </c>
      <c r="AP31" s="56">
        <v>46023.403738425928</v>
      </c>
      <c r="AQ31" t="s">
        <v>306</v>
      </c>
      <c r="AR31" t="s">
        <v>306</v>
      </c>
      <c r="AS31" t="s">
        <v>179</v>
      </c>
      <c r="AT31" t="s">
        <v>77</v>
      </c>
      <c r="AU31" t="s">
        <v>308</v>
      </c>
      <c r="AV31" t="s">
        <v>309</v>
      </c>
      <c r="AW31">
        <v>50</v>
      </c>
      <c r="AX31" t="s">
        <v>75</v>
      </c>
      <c r="AY31" t="s">
        <v>310</v>
      </c>
      <c r="AZ31" t="s">
        <v>311</v>
      </c>
      <c r="BA31" t="s">
        <v>312</v>
      </c>
      <c r="BB31"/>
      <c r="BC31"/>
    </row>
    <row r="32" spans="1:55" ht="16" x14ac:dyDescent="0.2">
      <c r="A32" t="s">
        <v>153</v>
      </c>
      <c r="B32" t="s">
        <v>313</v>
      </c>
      <c r="C32" t="s">
        <v>314</v>
      </c>
      <c r="D32" t="s">
        <v>73</v>
      </c>
      <c r="E32" t="s">
        <v>72</v>
      </c>
      <c r="F32" t="s">
        <v>72</v>
      </c>
      <c r="G32" t="s">
        <v>73</v>
      </c>
      <c r="I32">
        <v>5</v>
      </c>
      <c r="Q32">
        <v>0</v>
      </c>
      <c r="R32">
        <v>0</v>
      </c>
      <c r="S32">
        <v>0</v>
      </c>
      <c r="T32">
        <v>0</v>
      </c>
      <c r="U32" t="s">
        <v>73</v>
      </c>
      <c r="V32">
        <v>0</v>
      </c>
      <c r="W32">
        <v>0</v>
      </c>
      <c r="X32">
        <v>0</v>
      </c>
      <c r="Y32">
        <v>0</v>
      </c>
      <c r="Z32">
        <v>0</v>
      </c>
      <c r="AA32">
        <v>0</v>
      </c>
      <c r="AB32">
        <v>0</v>
      </c>
      <c r="AC32" t="s">
        <v>73</v>
      </c>
      <c r="AD32">
        <v>4</v>
      </c>
      <c r="AE32">
        <v>4</v>
      </c>
      <c r="AF32">
        <v>0</v>
      </c>
      <c r="AG32">
        <v>4</v>
      </c>
      <c r="AH32">
        <v>0</v>
      </c>
      <c r="AI32">
        <v>25</v>
      </c>
      <c r="AJ32">
        <v>0</v>
      </c>
      <c r="AK32" t="s">
        <v>73</v>
      </c>
      <c r="AL32" t="s">
        <v>73</v>
      </c>
      <c r="AM32" s="42" t="s">
        <v>73</v>
      </c>
      <c r="AN32" t="s">
        <v>315</v>
      </c>
      <c r="AO32" s="56">
        <v>46009.863923611112</v>
      </c>
      <c r="AP32" s="56">
        <v>46009.822256944448</v>
      </c>
      <c r="AQ32" t="s">
        <v>73</v>
      </c>
      <c r="AR32" t="s">
        <v>73</v>
      </c>
      <c r="AS32" t="s">
        <v>73</v>
      </c>
      <c r="AT32" t="s">
        <v>73</v>
      </c>
      <c r="AU32" t="s">
        <v>73</v>
      </c>
      <c r="AV32" t="s">
        <v>73</v>
      </c>
      <c r="AW32">
        <v>0</v>
      </c>
      <c r="AX32" t="s">
        <v>73</v>
      </c>
      <c r="AY32" t="s">
        <v>158</v>
      </c>
      <c r="AZ32" t="s">
        <v>158</v>
      </c>
      <c r="BA32" t="s">
        <v>158</v>
      </c>
      <c r="BB32"/>
      <c r="BC32"/>
    </row>
    <row r="33" spans="1:55" ht="16" x14ac:dyDescent="0.2">
      <c r="A33" t="s">
        <v>153</v>
      </c>
      <c r="B33" t="s">
        <v>266</v>
      </c>
      <c r="C33" t="s">
        <v>267</v>
      </c>
      <c r="D33" t="s">
        <v>73</v>
      </c>
      <c r="E33" t="s">
        <v>72</v>
      </c>
      <c r="F33" t="s">
        <v>72</v>
      </c>
      <c r="G33" t="s">
        <v>73</v>
      </c>
      <c r="Q33">
        <v>0</v>
      </c>
      <c r="R33">
        <v>0</v>
      </c>
      <c r="S33">
        <v>0</v>
      </c>
      <c r="T33">
        <v>0</v>
      </c>
      <c r="U33" t="s">
        <v>73</v>
      </c>
      <c r="V33">
        <v>0</v>
      </c>
      <c r="W33">
        <v>0</v>
      </c>
      <c r="X33">
        <v>2</v>
      </c>
      <c r="Y33">
        <v>2</v>
      </c>
      <c r="Z33">
        <v>0</v>
      </c>
      <c r="AA33">
        <v>0</v>
      </c>
      <c r="AB33">
        <v>0</v>
      </c>
      <c r="AC33" t="s">
        <v>73</v>
      </c>
      <c r="AD33">
        <v>6</v>
      </c>
      <c r="AE33">
        <v>6</v>
      </c>
      <c r="AF33">
        <v>0</v>
      </c>
      <c r="AG33">
        <v>6</v>
      </c>
      <c r="AH33">
        <v>0</v>
      </c>
      <c r="AI33">
        <v>25</v>
      </c>
      <c r="AJ33">
        <v>0</v>
      </c>
      <c r="AK33" t="s">
        <v>73</v>
      </c>
      <c r="AL33" t="s">
        <v>73</v>
      </c>
      <c r="AM33" s="42" t="s">
        <v>73</v>
      </c>
      <c r="AN33" t="s">
        <v>270</v>
      </c>
      <c r="AO33" s="56">
        <v>46005.920173611114</v>
      </c>
      <c r="AP33" s="56">
        <v>46005.878506944442</v>
      </c>
      <c r="AQ33" t="s">
        <v>73</v>
      </c>
      <c r="AR33" t="s">
        <v>73</v>
      </c>
      <c r="AS33" t="s">
        <v>73</v>
      </c>
      <c r="AT33" t="s">
        <v>73</v>
      </c>
      <c r="AU33" t="s">
        <v>73</v>
      </c>
      <c r="AV33" t="s">
        <v>73</v>
      </c>
      <c r="AW33">
        <v>0</v>
      </c>
      <c r="AX33" t="s">
        <v>73</v>
      </c>
      <c r="AY33" t="s">
        <v>158</v>
      </c>
      <c r="AZ33" t="s">
        <v>158</v>
      </c>
      <c r="BA33" t="s">
        <v>158</v>
      </c>
      <c r="BB33"/>
      <c r="BC33"/>
    </row>
    <row r="34" spans="1:55" ht="16" x14ac:dyDescent="0.2">
      <c r="A34" t="s">
        <v>153</v>
      </c>
      <c r="B34" t="s">
        <v>224</v>
      </c>
      <c r="C34" t="s">
        <v>225</v>
      </c>
      <c r="D34" t="s">
        <v>73</v>
      </c>
      <c r="E34" t="s">
        <v>72</v>
      </c>
      <c r="F34" t="s">
        <v>72</v>
      </c>
      <c r="G34" t="s">
        <v>73</v>
      </c>
      <c r="I34">
        <v>14</v>
      </c>
      <c r="J34">
        <v>4</v>
      </c>
      <c r="L34">
        <v>2</v>
      </c>
      <c r="N34">
        <v>4</v>
      </c>
      <c r="O34">
        <v>3</v>
      </c>
      <c r="Q34">
        <v>6</v>
      </c>
      <c r="R34">
        <v>3</v>
      </c>
      <c r="S34">
        <v>3</v>
      </c>
      <c r="T34">
        <v>0</v>
      </c>
      <c r="U34" t="s">
        <v>73</v>
      </c>
      <c r="V34">
        <v>0</v>
      </c>
      <c r="W34">
        <v>0</v>
      </c>
      <c r="X34">
        <v>4</v>
      </c>
      <c r="Y34">
        <v>1</v>
      </c>
      <c r="Z34">
        <v>3</v>
      </c>
      <c r="AA34">
        <v>0</v>
      </c>
      <c r="AB34">
        <v>0</v>
      </c>
      <c r="AC34" t="s">
        <v>73</v>
      </c>
      <c r="AD34">
        <v>4</v>
      </c>
      <c r="AE34">
        <v>4</v>
      </c>
      <c r="AF34">
        <v>0</v>
      </c>
      <c r="AG34">
        <v>0</v>
      </c>
      <c r="AH34">
        <v>1</v>
      </c>
      <c r="AI34">
        <v>66</v>
      </c>
      <c r="AJ34">
        <v>8</v>
      </c>
      <c r="AK34" t="s">
        <v>72</v>
      </c>
      <c r="AL34" t="s">
        <v>73</v>
      </c>
      <c r="AM34" s="42" t="s">
        <v>73</v>
      </c>
      <c r="AN34" t="s">
        <v>237</v>
      </c>
      <c r="AO34" s="56">
        <v>46003.786145833335</v>
      </c>
      <c r="AP34" s="56">
        <v>46044.745497685188</v>
      </c>
      <c r="AQ34" t="s">
        <v>73</v>
      </c>
      <c r="AR34" t="s">
        <v>73</v>
      </c>
      <c r="AS34" t="s">
        <v>73</v>
      </c>
      <c r="AT34" t="s">
        <v>73</v>
      </c>
      <c r="AU34" t="s">
        <v>73</v>
      </c>
      <c r="AV34" t="s">
        <v>73</v>
      </c>
      <c r="AW34">
        <v>0</v>
      </c>
      <c r="AX34" t="s">
        <v>73</v>
      </c>
      <c r="AY34" t="s">
        <v>158</v>
      </c>
      <c r="AZ34" t="s">
        <v>158</v>
      </c>
      <c r="BA34" t="s">
        <v>158</v>
      </c>
      <c r="BB34"/>
      <c r="BC34"/>
    </row>
    <row r="35" spans="1:55" ht="16" x14ac:dyDescent="0.2">
      <c r="A35" t="s">
        <v>153</v>
      </c>
      <c r="B35" t="s">
        <v>216</v>
      </c>
      <c r="C35" t="s">
        <v>217</v>
      </c>
      <c r="D35" t="s">
        <v>73</v>
      </c>
      <c r="E35" t="s">
        <v>72</v>
      </c>
      <c r="F35" t="s">
        <v>73</v>
      </c>
      <c r="G35" t="s">
        <v>73</v>
      </c>
      <c r="I35">
        <v>9</v>
      </c>
      <c r="J35">
        <v>3</v>
      </c>
      <c r="L35">
        <v>3</v>
      </c>
      <c r="Q35">
        <v>0</v>
      </c>
      <c r="R35">
        <v>0</v>
      </c>
      <c r="S35">
        <v>0</v>
      </c>
      <c r="T35">
        <v>0</v>
      </c>
      <c r="U35" t="s">
        <v>72</v>
      </c>
      <c r="V35">
        <v>0</v>
      </c>
      <c r="W35">
        <v>0</v>
      </c>
      <c r="X35">
        <v>4</v>
      </c>
      <c r="Y35">
        <v>2</v>
      </c>
      <c r="Z35">
        <v>1</v>
      </c>
      <c r="AA35">
        <v>0</v>
      </c>
      <c r="AB35">
        <v>1</v>
      </c>
      <c r="AC35" t="s">
        <v>72</v>
      </c>
      <c r="AD35">
        <v>3</v>
      </c>
      <c r="AE35">
        <v>3</v>
      </c>
      <c r="AF35">
        <v>0</v>
      </c>
      <c r="AG35">
        <v>3</v>
      </c>
      <c r="AH35">
        <v>0</v>
      </c>
      <c r="AI35">
        <v>77</v>
      </c>
      <c r="AJ35">
        <v>12</v>
      </c>
      <c r="AK35" t="s">
        <v>73</v>
      </c>
      <c r="AL35" t="s">
        <v>73</v>
      </c>
      <c r="AM35" s="42" t="s">
        <v>73</v>
      </c>
      <c r="AN35" t="s">
        <v>218</v>
      </c>
      <c r="AO35" s="56">
        <v>46003.541863425926</v>
      </c>
      <c r="AP35" s="56">
        <v>46044.745833333334</v>
      </c>
      <c r="AQ35" t="s">
        <v>217</v>
      </c>
      <c r="AR35" t="s">
        <v>78</v>
      </c>
      <c r="AS35" t="s">
        <v>76</v>
      </c>
      <c r="AT35" t="s">
        <v>219</v>
      </c>
      <c r="AU35" t="s">
        <v>220</v>
      </c>
      <c r="AV35" t="s">
        <v>221</v>
      </c>
      <c r="AW35">
        <v>20</v>
      </c>
      <c r="AX35" t="s">
        <v>73</v>
      </c>
      <c r="AY35" t="s">
        <v>158</v>
      </c>
      <c r="AZ35" t="s">
        <v>158</v>
      </c>
      <c r="BA35" t="s">
        <v>158</v>
      </c>
      <c r="BB35"/>
      <c r="BC35"/>
    </row>
    <row r="36" spans="1:55" ht="16" x14ac:dyDescent="0.2">
      <c r="A36" t="s">
        <v>153</v>
      </c>
      <c r="B36" t="s">
        <v>188</v>
      </c>
      <c r="C36" t="s">
        <v>189</v>
      </c>
      <c r="D36" t="s">
        <v>73</v>
      </c>
      <c r="E36" t="s">
        <v>72</v>
      </c>
      <c r="F36" t="s">
        <v>73</v>
      </c>
      <c r="G36" t="s">
        <v>73</v>
      </c>
      <c r="I36">
        <v>8</v>
      </c>
      <c r="Q36">
        <v>0</v>
      </c>
      <c r="R36">
        <v>0</v>
      </c>
      <c r="S36">
        <v>0</v>
      </c>
      <c r="T36">
        <v>0</v>
      </c>
      <c r="U36" t="s">
        <v>73</v>
      </c>
      <c r="V36">
        <v>0</v>
      </c>
      <c r="W36">
        <v>0</v>
      </c>
      <c r="X36">
        <v>0</v>
      </c>
      <c r="Y36">
        <v>0</v>
      </c>
      <c r="Z36">
        <v>0</v>
      </c>
      <c r="AA36">
        <v>0</v>
      </c>
      <c r="AB36">
        <v>0</v>
      </c>
      <c r="AC36" t="s">
        <v>73</v>
      </c>
      <c r="AD36">
        <v>0</v>
      </c>
      <c r="AE36">
        <v>0</v>
      </c>
      <c r="AF36">
        <v>0</v>
      </c>
      <c r="AG36">
        <v>0</v>
      </c>
      <c r="AH36">
        <v>0</v>
      </c>
      <c r="AI36">
        <v>11</v>
      </c>
      <c r="AJ36">
        <v>0</v>
      </c>
      <c r="AK36" t="s">
        <v>73</v>
      </c>
      <c r="AL36" t="s">
        <v>73</v>
      </c>
      <c r="AM36" s="42" t="s">
        <v>73</v>
      </c>
      <c r="AN36" t="s">
        <v>190</v>
      </c>
      <c r="AO36" s="56">
        <v>46000.696250000001</v>
      </c>
      <c r="AP36" s="56">
        <v>46000.654583333337</v>
      </c>
      <c r="AQ36" t="s">
        <v>73</v>
      </c>
      <c r="AR36" t="s">
        <v>73</v>
      </c>
      <c r="AS36" t="s">
        <v>73</v>
      </c>
      <c r="AT36" t="s">
        <v>73</v>
      </c>
      <c r="AU36" t="s">
        <v>73</v>
      </c>
      <c r="AV36" t="s">
        <v>73</v>
      </c>
      <c r="AW36">
        <v>0</v>
      </c>
      <c r="AX36" t="s">
        <v>73</v>
      </c>
      <c r="AY36" t="s">
        <v>158</v>
      </c>
      <c r="AZ36" t="s">
        <v>158</v>
      </c>
      <c r="BA36" t="s">
        <v>158</v>
      </c>
      <c r="BB36"/>
      <c r="BC36"/>
    </row>
    <row r="37" spans="1:55" ht="176" x14ac:dyDescent="0.2">
      <c r="A37" t="s">
        <v>153</v>
      </c>
      <c r="B37" t="s">
        <v>165</v>
      </c>
      <c r="C37" t="s">
        <v>166</v>
      </c>
      <c r="D37" t="s">
        <v>72</v>
      </c>
      <c r="E37" t="s">
        <v>73</v>
      </c>
      <c r="F37" t="s">
        <v>72</v>
      </c>
      <c r="G37" t="s">
        <v>73</v>
      </c>
      <c r="I37">
        <v>4</v>
      </c>
      <c r="Q37">
        <v>0</v>
      </c>
      <c r="R37">
        <v>0</v>
      </c>
      <c r="S37">
        <v>0</v>
      </c>
      <c r="T37">
        <v>0</v>
      </c>
      <c r="U37" t="s">
        <v>73</v>
      </c>
      <c r="V37">
        <v>0</v>
      </c>
      <c r="W37">
        <v>0</v>
      </c>
      <c r="X37">
        <v>0</v>
      </c>
      <c r="Y37">
        <v>0</v>
      </c>
      <c r="Z37">
        <v>0</v>
      </c>
      <c r="AA37">
        <v>0</v>
      </c>
      <c r="AB37">
        <v>0</v>
      </c>
      <c r="AC37" t="s">
        <v>73</v>
      </c>
      <c r="AD37">
        <v>6</v>
      </c>
      <c r="AE37">
        <v>6</v>
      </c>
      <c r="AF37">
        <v>0</v>
      </c>
      <c r="AG37">
        <v>0</v>
      </c>
      <c r="AH37">
        <v>0</v>
      </c>
      <c r="AI37">
        <v>10</v>
      </c>
      <c r="AJ37">
        <v>2</v>
      </c>
      <c r="AK37" t="s">
        <v>73</v>
      </c>
      <c r="AL37" t="s">
        <v>73</v>
      </c>
      <c r="AM37" s="42" t="s">
        <v>243</v>
      </c>
      <c r="AN37" t="s">
        <v>191</v>
      </c>
      <c r="AO37" s="56">
        <v>45999.829548611109</v>
      </c>
      <c r="AP37" s="56">
        <v>46004.501238425924</v>
      </c>
      <c r="AQ37" t="s">
        <v>73</v>
      </c>
      <c r="AR37" t="s">
        <v>73</v>
      </c>
      <c r="AS37" t="s">
        <v>73</v>
      </c>
      <c r="AT37" t="s">
        <v>73</v>
      </c>
      <c r="AU37" t="s">
        <v>73</v>
      </c>
      <c r="AV37" t="s">
        <v>73</v>
      </c>
      <c r="AW37">
        <v>0</v>
      </c>
      <c r="AX37" t="s">
        <v>73</v>
      </c>
      <c r="AY37" t="s">
        <v>158</v>
      </c>
      <c r="AZ37" t="s">
        <v>158</v>
      </c>
      <c r="BA37" t="s">
        <v>158</v>
      </c>
      <c r="BB37"/>
      <c r="BC37"/>
    </row>
    <row r="38" spans="1:55" ht="16" x14ac:dyDescent="0.2">
      <c r="A38" t="s">
        <v>153</v>
      </c>
      <c r="B38" t="s">
        <v>176</v>
      </c>
      <c r="C38" t="s">
        <v>177</v>
      </c>
      <c r="D38" t="s">
        <v>73</v>
      </c>
      <c r="E38" t="s">
        <v>72</v>
      </c>
      <c r="F38" t="s">
        <v>72</v>
      </c>
      <c r="G38" t="s">
        <v>73</v>
      </c>
      <c r="I38">
        <v>4</v>
      </c>
      <c r="Q38">
        <v>0</v>
      </c>
      <c r="R38">
        <v>0</v>
      </c>
      <c r="S38">
        <v>0</v>
      </c>
      <c r="T38">
        <v>0</v>
      </c>
      <c r="U38" t="s">
        <v>72</v>
      </c>
      <c r="V38">
        <v>0</v>
      </c>
      <c r="W38">
        <v>0</v>
      </c>
      <c r="X38">
        <v>0</v>
      </c>
      <c r="Y38">
        <v>0</v>
      </c>
      <c r="Z38">
        <v>0</v>
      </c>
      <c r="AA38">
        <v>0</v>
      </c>
      <c r="AB38">
        <v>0</v>
      </c>
      <c r="AC38" t="s">
        <v>73</v>
      </c>
      <c r="AD38">
        <v>6</v>
      </c>
      <c r="AE38">
        <v>6</v>
      </c>
      <c r="AF38">
        <v>0</v>
      </c>
      <c r="AG38">
        <v>6</v>
      </c>
      <c r="AH38">
        <v>0</v>
      </c>
      <c r="AI38">
        <v>40</v>
      </c>
      <c r="AJ38">
        <v>12</v>
      </c>
      <c r="AK38" t="s">
        <v>72</v>
      </c>
      <c r="AL38" t="s">
        <v>73</v>
      </c>
      <c r="AM38" s="42" t="s">
        <v>73</v>
      </c>
      <c r="AN38" t="s">
        <v>178</v>
      </c>
      <c r="AO38" s="56">
        <v>45998.928877314815</v>
      </c>
      <c r="AP38" s="56">
        <v>46006.883460648147</v>
      </c>
      <c r="AQ38" t="s">
        <v>177</v>
      </c>
      <c r="AR38" t="s">
        <v>78</v>
      </c>
      <c r="AS38" t="s">
        <v>179</v>
      </c>
      <c r="AT38" t="s">
        <v>288</v>
      </c>
      <c r="AU38" t="s">
        <v>180</v>
      </c>
      <c r="AV38" t="s">
        <v>181</v>
      </c>
      <c r="AW38">
        <v>12</v>
      </c>
      <c r="AX38" t="s">
        <v>73</v>
      </c>
      <c r="AY38" t="s">
        <v>158</v>
      </c>
      <c r="AZ38" t="s">
        <v>158</v>
      </c>
      <c r="BA38" t="s">
        <v>158</v>
      </c>
      <c r="BB38"/>
      <c r="BC38"/>
    </row>
    <row r="39" spans="1:55" ht="16" x14ac:dyDescent="0.2">
      <c r="A39" t="s">
        <v>153</v>
      </c>
      <c r="B39" t="s">
        <v>182</v>
      </c>
      <c r="C39" t="s">
        <v>183</v>
      </c>
      <c r="D39" t="s">
        <v>73</v>
      </c>
      <c r="E39" t="s">
        <v>72</v>
      </c>
      <c r="F39" t="s">
        <v>72</v>
      </c>
      <c r="G39" t="s">
        <v>73</v>
      </c>
      <c r="I39">
        <v>8</v>
      </c>
      <c r="J39">
        <v>3</v>
      </c>
      <c r="Q39">
        <v>0</v>
      </c>
      <c r="R39">
        <v>0</v>
      </c>
      <c r="S39">
        <v>0</v>
      </c>
      <c r="T39">
        <v>0</v>
      </c>
      <c r="U39" t="s">
        <v>73</v>
      </c>
      <c r="V39">
        <v>0</v>
      </c>
      <c r="W39">
        <v>0</v>
      </c>
      <c r="X39">
        <v>0</v>
      </c>
      <c r="Y39">
        <v>0</v>
      </c>
      <c r="Z39">
        <v>0</v>
      </c>
      <c r="AA39">
        <v>0</v>
      </c>
      <c r="AB39">
        <v>0</v>
      </c>
      <c r="AC39" t="s">
        <v>72</v>
      </c>
      <c r="AD39">
        <v>0</v>
      </c>
      <c r="AE39">
        <v>0</v>
      </c>
      <c r="AF39">
        <v>0</v>
      </c>
      <c r="AG39">
        <v>0</v>
      </c>
      <c r="AH39">
        <v>2</v>
      </c>
      <c r="AI39">
        <v>35</v>
      </c>
      <c r="AJ39">
        <v>4</v>
      </c>
      <c r="AK39" t="s">
        <v>73</v>
      </c>
      <c r="AL39" t="s">
        <v>73</v>
      </c>
      <c r="AM39" s="42" t="s">
        <v>73</v>
      </c>
      <c r="AN39" t="s">
        <v>184</v>
      </c>
      <c r="AO39" s="56">
        <v>45998.522962962961</v>
      </c>
      <c r="AP39" s="56">
        <v>45998.481296296297</v>
      </c>
      <c r="AQ39" t="s">
        <v>73</v>
      </c>
      <c r="AR39" t="s">
        <v>73</v>
      </c>
      <c r="AS39" t="s">
        <v>73</v>
      </c>
      <c r="AT39" t="s">
        <v>73</v>
      </c>
      <c r="AU39" t="s">
        <v>73</v>
      </c>
      <c r="AV39" t="s">
        <v>73</v>
      </c>
      <c r="AW39">
        <v>0</v>
      </c>
      <c r="AX39" t="s">
        <v>73</v>
      </c>
      <c r="AY39" t="s">
        <v>158</v>
      </c>
      <c r="AZ39" t="s">
        <v>158</v>
      </c>
      <c r="BA39" t="s">
        <v>158</v>
      </c>
      <c r="BB39"/>
      <c r="BC39"/>
    </row>
    <row r="40" spans="1:55" ht="16" x14ac:dyDescent="0.2">
      <c r="A40" t="s">
        <v>153</v>
      </c>
      <c r="B40" t="s">
        <v>155</v>
      </c>
      <c r="C40" t="s">
        <v>156</v>
      </c>
      <c r="D40" t="s">
        <v>73</v>
      </c>
      <c r="E40" t="s">
        <v>72</v>
      </c>
      <c r="F40" t="s">
        <v>73</v>
      </c>
      <c r="G40" t="s">
        <v>73</v>
      </c>
      <c r="I40">
        <v>4</v>
      </c>
      <c r="Q40">
        <v>0</v>
      </c>
      <c r="R40">
        <v>0</v>
      </c>
      <c r="S40">
        <v>0</v>
      </c>
      <c r="T40">
        <v>0</v>
      </c>
      <c r="U40" t="s">
        <v>73</v>
      </c>
      <c r="V40">
        <v>0</v>
      </c>
      <c r="W40">
        <v>0</v>
      </c>
      <c r="X40">
        <v>0</v>
      </c>
      <c r="Y40">
        <v>0</v>
      </c>
      <c r="Z40">
        <v>0</v>
      </c>
      <c r="AA40">
        <v>0</v>
      </c>
      <c r="AB40">
        <v>0</v>
      </c>
      <c r="AC40" t="s">
        <v>73</v>
      </c>
      <c r="AD40">
        <v>4</v>
      </c>
      <c r="AE40">
        <v>4</v>
      </c>
      <c r="AF40">
        <v>0</v>
      </c>
      <c r="AG40">
        <v>4</v>
      </c>
      <c r="AH40">
        <v>0</v>
      </c>
      <c r="AI40">
        <v>50</v>
      </c>
      <c r="AJ40">
        <v>2</v>
      </c>
      <c r="AK40" t="s">
        <v>73</v>
      </c>
      <c r="AL40" t="s">
        <v>73</v>
      </c>
      <c r="AM40" s="42" t="s">
        <v>73</v>
      </c>
      <c r="AN40" t="s">
        <v>157</v>
      </c>
      <c r="AO40" s="56">
        <v>45995.857175925928</v>
      </c>
      <c r="AP40" s="56">
        <v>45995.815509259257</v>
      </c>
      <c r="AQ40" t="s">
        <v>73</v>
      </c>
      <c r="AR40" t="s">
        <v>73</v>
      </c>
      <c r="AS40" t="s">
        <v>73</v>
      </c>
      <c r="AT40" t="s">
        <v>73</v>
      </c>
      <c r="AU40" t="s">
        <v>73</v>
      </c>
      <c r="AV40" t="s">
        <v>73</v>
      </c>
      <c r="AW40">
        <v>0</v>
      </c>
      <c r="AX40" t="s">
        <v>73</v>
      </c>
      <c r="AY40" t="s">
        <v>158</v>
      </c>
      <c r="AZ40" t="s">
        <v>158</v>
      </c>
      <c r="BA40" t="s">
        <v>158</v>
      </c>
      <c r="BB40"/>
      <c r="BC40"/>
    </row>
    <row r="41" spans="1:55" ht="16" x14ac:dyDescent="0.2">
      <c r="A41" t="s">
        <v>153</v>
      </c>
      <c r="B41" t="s">
        <v>159</v>
      </c>
      <c r="C41" t="s">
        <v>160</v>
      </c>
      <c r="D41" t="s">
        <v>73</v>
      </c>
      <c r="E41" t="s">
        <v>72</v>
      </c>
      <c r="F41" t="s">
        <v>72</v>
      </c>
      <c r="G41" t="s">
        <v>73</v>
      </c>
      <c r="J41">
        <v>3</v>
      </c>
      <c r="L41">
        <v>2</v>
      </c>
      <c r="Q41">
        <v>0</v>
      </c>
      <c r="R41">
        <v>0</v>
      </c>
      <c r="S41">
        <v>0</v>
      </c>
      <c r="T41">
        <v>0</v>
      </c>
      <c r="U41" t="s">
        <v>73</v>
      </c>
      <c r="V41">
        <v>0</v>
      </c>
      <c r="W41">
        <v>0</v>
      </c>
      <c r="X41">
        <v>4</v>
      </c>
      <c r="Y41">
        <v>4</v>
      </c>
      <c r="Z41">
        <v>0</v>
      </c>
      <c r="AA41">
        <v>0</v>
      </c>
      <c r="AB41">
        <v>0</v>
      </c>
      <c r="AC41" t="s">
        <v>73</v>
      </c>
      <c r="AD41">
        <v>0</v>
      </c>
      <c r="AE41">
        <v>0</v>
      </c>
      <c r="AF41">
        <v>0</v>
      </c>
      <c r="AG41">
        <v>0</v>
      </c>
      <c r="AH41">
        <v>0</v>
      </c>
      <c r="AI41">
        <v>100</v>
      </c>
      <c r="AJ41">
        <v>20</v>
      </c>
      <c r="AK41" t="s">
        <v>73</v>
      </c>
      <c r="AL41" t="s">
        <v>73</v>
      </c>
      <c r="AM41" s="42" t="s">
        <v>73</v>
      </c>
      <c r="AN41" t="s">
        <v>161</v>
      </c>
      <c r="AO41" s="56">
        <v>45993.666203703702</v>
      </c>
      <c r="AP41" s="56">
        <v>45993.624537037038</v>
      </c>
      <c r="AQ41" t="s">
        <v>73</v>
      </c>
      <c r="AR41" t="s">
        <v>73</v>
      </c>
      <c r="AS41" t="s">
        <v>73</v>
      </c>
      <c r="AT41" t="s">
        <v>73</v>
      </c>
      <c r="AU41" t="s">
        <v>73</v>
      </c>
      <c r="AV41" t="s">
        <v>73</v>
      </c>
      <c r="AW41">
        <v>0</v>
      </c>
      <c r="AX41" t="s">
        <v>73</v>
      </c>
      <c r="AY41" t="s">
        <v>158</v>
      </c>
      <c r="AZ41" t="s">
        <v>158</v>
      </c>
      <c r="BA41" t="s">
        <v>158</v>
      </c>
      <c r="BB41"/>
      <c r="BC41"/>
    </row>
    <row r="42" spans="1:55" ht="16" x14ac:dyDescent="0.2">
      <c r="A42" t="s">
        <v>154</v>
      </c>
      <c r="B42" t="s">
        <v>461</v>
      </c>
      <c r="C42" t="s">
        <v>462</v>
      </c>
      <c r="D42" t="s">
        <v>73</v>
      </c>
      <c r="E42" t="s">
        <v>72</v>
      </c>
      <c r="F42" t="s">
        <v>72</v>
      </c>
      <c r="G42" t="s">
        <v>73</v>
      </c>
      <c r="I42">
        <v>9</v>
      </c>
      <c r="J42">
        <v>6</v>
      </c>
      <c r="L42">
        <v>7</v>
      </c>
      <c r="Q42">
        <v>0</v>
      </c>
      <c r="R42">
        <v>0</v>
      </c>
      <c r="S42">
        <v>0</v>
      </c>
      <c r="T42">
        <v>0</v>
      </c>
      <c r="U42" t="s">
        <v>73</v>
      </c>
      <c r="V42">
        <v>0</v>
      </c>
      <c r="W42">
        <v>0</v>
      </c>
      <c r="X42">
        <v>4</v>
      </c>
      <c r="Y42">
        <v>4</v>
      </c>
      <c r="Z42">
        <v>0</v>
      </c>
      <c r="AA42">
        <v>0</v>
      </c>
      <c r="AB42">
        <v>0</v>
      </c>
      <c r="AC42" t="s">
        <v>73</v>
      </c>
      <c r="AD42">
        <v>0</v>
      </c>
      <c r="AE42">
        <v>0</v>
      </c>
      <c r="AF42">
        <v>0</v>
      </c>
      <c r="AG42">
        <v>0</v>
      </c>
      <c r="AH42">
        <v>0</v>
      </c>
      <c r="AI42">
        <v>120</v>
      </c>
      <c r="AJ42">
        <v>20</v>
      </c>
      <c r="AK42" t="s">
        <v>73</v>
      </c>
      <c r="AL42" t="s">
        <v>73</v>
      </c>
      <c r="AM42" s="42" t="s">
        <v>73</v>
      </c>
      <c r="AN42" t="s">
        <v>463</v>
      </c>
      <c r="AO42" s="56">
        <v>46023.737766203703</v>
      </c>
      <c r="AP42" s="56">
        <v>46023.696099537039</v>
      </c>
      <c r="AQ42" t="s">
        <v>73</v>
      </c>
      <c r="AR42" t="s">
        <v>73</v>
      </c>
      <c r="AS42" t="s">
        <v>73</v>
      </c>
      <c r="AT42" t="s">
        <v>73</v>
      </c>
      <c r="AU42" t="s">
        <v>73</v>
      </c>
      <c r="AV42" t="s">
        <v>73</v>
      </c>
      <c r="AW42">
        <v>0</v>
      </c>
      <c r="AX42" t="s">
        <v>73</v>
      </c>
      <c r="AY42" t="s">
        <v>158</v>
      </c>
      <c r="AZ42" t="s">
        <v>158</v>
      </c>
      <c r="BA42" t="s">
        <v>158</v>
      </c>
      <c r="BB42"/>
      <c r="BC42"/>
    </row>
    <row r="43" spans="1:55" ht="16" x14ac:dyDescent="0.2">
      <c r="A43" t="s">
        <v>154</v>
      </c>
      <c r="B43" t="s">
        <v>457</v>
      </c>
      <c r="C43" t="s">
        <v>458</v>
      </c>
      <c r="D43" t="s">
        <v>73</v>
      </c>
      <c r="E43" t="s">
        <v>72</v>
      </c>
      <c r="F43" t="s">
        <v>73</v>
      </c>
      <c r="G43" t="s">
        <v>73</v>
      </c>
      <c r="I43">
        <v>10</v>
      </c>
      <c r="J43">
        <v>4</v>
      </c>
      <c r="Q43">
        <v>1</v>
      </c>
      <c r="R43">
        <v>1</v>
      </c>
      <c r="S43">
        <v>0</v>
      </c>
      <c r="T43">
        <v>0</v>
      </c>
      <c r="U43" t="s">
        <v>73</v>
      </c>
      <c r="V43">
        <v>0</v>
      </c>
      <c r="W43">
        <v>0</v>
      </c>
      <c r="X43">
        <v>4</v>
      </c>
      <c r="Y43">
        <v>3</v>
      </c>
      <c r="Z43">
        <v>1</v>
      </c>
      <c r="AA43">
        <v>0</v>
      </c>
      <c r="AB43">
        <v>0</v>
      </c>
      <c r="AC43" t="s">
        <v>72</v>
      </c>
      <c r="AD43">
        <v>6</v>
      </c>
      <c r="AE43">
        <v>6</v>
      </c>
      <c r="AF43">
        <v>0</v>
      </c>
      <c r="AG43">
        <v>6</v>
      </c>
      <c r="AH43">
        <v>1</v>
      </c>
      <c r="AI43">
        <v>68</v>
      </c>
      <c r="AJ43">
        <v>12</v>
      </c>
      <c r="AK43" t="s">
        <v>72</v>
      </c>
      <c r="AL43" t="s">
        <v>73</v>
      </c>
      <c r="AM43" s="42" t="s">
        <v>73</v>
      </c>
      <c r="AN43" t="s">
        <v>459</v>
      </c>
      <c r="AO43" s="56">
        <v>46023.625138888892</v>
      </c>
      <c r="AP43" s="56">
        <v>46023.583472222221</v>
      </c>
      <c r="AQ43" t="s">
        <v>73</v>
      </c>
      <c r="AR43" t="s">
        <v>73</v>
      </c>
      <c r="AS43" t="s">
        <v>73</v>
      </c>
      <c r="AT43" t="s">
        <v>73</v>
      </c>
      <c r="AU43" t="s">
        <v>73</v>
      </c>
      <c r="AV43" t="s">
        <v>73</v>
      </c>
      <c r="AW43">
        <v>0</v>
      </c>
      <c r="AX43" t="s">
        <v>73</v>
      </c>
      <c r="AY43" t="s">
        <v>158</v>
      </c>
      <c r="AZ43" t="s">
        <v>158</v>
      </c>
      <c r="BA43" t="s">
        <v>158</v>
      </c>
      <c r="BB43"/>
      <c r="BC43"/>
    </row>
    <row r="44" spans="1:55" ht="16" x14ac:dyDescent="0.2">
      <c r="A44" t="s">
        <v>154</v>
      </c>
      <c r="B44" t="s">
        <v>444</v>
      </c>
      <c r="C44" t="s">
        <v>445</v>
      </c>
      <c r="D44" t="s">
        <v>73</v>
      </c>
      <c r="E44" t="s">
        <v>72</v>
      </c>
      <c r="F44" t="s">
        <v>72</v>
      </c>
      <c r="G44" t="s">
        <v>73</v>
      </c>
      <c r="I44">
        <v>8</v>
      </c>
      <c r="J44">
        <v>7</v>
      </c>
      <c r="Q44">
        <v>0</v>
      </c>
      <c r="R44">
        <v>0</v>
      </c>
      <c r="S44">
        <v>0</v>
      </c>
      <c r="T44">
        <v>0</v>
      </c>
      <c r="U44" t="s">
        <v>73</v>
      </c>
      <c r="V44">
        <v>0</v>
      </c>
      <c r="W44">
        <v>0</v>
      </c>
      <c r="X44">
        <v>0</v>
      </c>
      <c r="Y44">
        <v>0</v>
      </c>
      <c r="Z44">
        <v>0</v>
      </c>
      <c r="AA44">
        <v>0</v>
      </c>
      <c r="AB44">
        <v>0</v>
      </c>
      <c r="AC44" t="s">
        <v>73</v>
      </c>
      <c r="AD44">
        <v>6</v>
      </c>
      <c r="AE44">
        <v>0</v>
      </c>
      <c r="AF44">
        <v>0</v>
      </c>
      <c r="AG44">
        <v>0</v>
      </c>
      <c r="AH44">
        <v>0</v>
      </c>
      <c r="AI44">
        <v>27</v>
      </c>
      <c r="AJ44">
        <v>9</v>
      </c>
      <c r="AK44" t="s">
        <v>72</v>
      </c>
      <c r="AL44" t="s">
        <v>73</v>
      </c>
      <c r="AM44" s="42" t="s">
        <v>73</v>
      </c>
      <c r="AN44" t="s">
        <v>446</v>
      </c>
      <c r="AO44" s="56">
        <v>46021.9921412037</v>
      </c>
      <c r="AP44" s="56">
        <v>46044.743888888886</v>
      </c>
      <c r="AQ44" t="s">
        <v>73</v>
      </c>
      <c r="AR44" t="s">
        <v>73</v>
      </c>
      <c r="AS44" t="s">
        <v>73</v>
      </c>
      <c r="AT44" t="s">
        <v>73</v>
      </c>
      <c r="AU44" t="s">
        <v>73</v>
      </c>
      <c r="AV44" t="s">
        <v>73</v>
      </c>
      <c r="AW44">
        <v>0</v>
      </c>
      <c r="AX44" t="s">
        <v>73</v>
      </c>
      <c r="AY44" t="s">
        <v>158</v>
      </c>
      <c r="AZ44" t="s">
        <v>158</v>
      </c>
      <c r="BA44" t="s">
        <v>158</v>
      </c>
      <c r="BB44"/>
      <c r="BC44"/>
    </row>
    <row r="45" spans="1:55" ht="16" x14ac:dyDescent="0.2">
      <c r="A45" t="s">
        <v>154</v>
      </c>
      <c r="B45" t="s">
        <v>447</v>
      </c>
      <c r="C45" t="s">
        <v>448</v>
      </c>
      <c r="D45" t="s">
        <v>73</v>
      </c>
      <c r="E45" t="s">
        <v>72</v>
      </c>
      <c r="F45" t="s">
        <v>73</v>
      </c>
      <c r="G45" t="s">
        <v>73</v>
      </c>
      <c r="Q45">
        <v>0</v>
      </c>
      <c r="R45">
        <v>0</v>
      </c>
      <c r="S45">
        <v>0</v>
      </c>
      <c r="T45">
        <v>0</v>
      </c>
      <c r="U45" t="s">
        <v>73</v>
      </c>
      <c r="V45">
        <v>0</v>
      </c>
      <c r="W45">
        <v>0</v>
      </c>
      <c r="X45">
        <v>0</v>
      </c>
      <c r="Y45">
        <v>0</v>
      </c>
      <c r="Z45">
        <v>0</v>
      </c>
      <c r="AA45">
        <v>0</v>
      </c>
      <c r="AB45">
        <v>0</v>
      </c>
      <c r="AC45" t="s">
        <v>73</v>
      </c>
      <c r="AD45">
        <v>0</v>
      </c>
      <c r="AE45">
        <v>0</v>
      </c>
      <c r="AF45">
        <v>0</v>
      </c>
      <c r="AG45">
        <v>0</v>
      </c>
      <c r="AH45">
        <v>0</v>
      </c>
      <c r="AI45">
        <v>25</v>
      </c>
      <c r="AJ45">
        <v>5</v>
      </c>
      <c r="AK45" t="s">
        <v>73</v>
      </c>
      <c r="AL45" t="s">
        <v>72</v>
      </c>
      <c r="AM45" s="42" t="s">
        <v>73</v>
      </c>
      <c r="AN45" t="s">
        <v>449</v>
      </c>
      <c r="AO45" s="56">
        <v>46021.975057870368</v>
      </c>
      <c r="AP45" s="56">
        <v>46045.782569444447</v>
      </c>
      <c r="AQ45" t="s">
        <v>73</v>
      </c>
      <c r="AR45" t="s">
        <v>73</v>
      </c>
      <c r="AS45" t="s">
        <v>73</v>
      </c>
      <c r="AT45" t="s">
        <v>73</v>
      </c>
      <c r="AU45" t="s">
        <v>73</v>
      </c>
      <c r="AV45" t="s">
        <v>73</v>
      </c>
      <c r="AW45">
        <v>0</v>
      </c>
      <c r="AX45" t="s">
        <v>73</v>
      </c>
      <c r="AY45" t="s">
        <v>158</v>
      </c>
      <c r="AZ45" t="s">
        <v>158</v>
      </c>
      <c r="BA45" t="s">
        <v>158</v>
      </c>
      <c r="BB45"/>
      <c r="BC45"/>
    </row>
    <row r="46" spans="1:55" ht="16" x14ac:dyDescent="0.2">
      <c r="A46" t="s">
        <v>154</v>
      </c>
      <c r="B46" t="s">
        <v>424</v>
      </c>
      <c r="C46" t="s">
        <v>425</v>
      </c>
      <c r="D46" t="s">
        <v>73</v>
      </c>
      <c r="E46" t="s">
        <v>72</v>
      </c>
      <c r="F46" t="s">
        <v>72</v>
      </c>
      <c r="G46" t="s">
        <v>73</v>
      </c>
      <c r="I46">
        <v>12</v>
      </c>
      <c r="J46">
        <v>4</v>
      </c>
      <c r="Q46">
        <v>0</v>
      </c>
      <c r="R46">
        <v>0</v>
      </c>
      <c r="S46">
        <v>0</v>
      </c>
      <c r="T46">
        <v>0</v>
      </c>
      <c r="U46" t="s">
        <v>73</v>
      </c>
      <c r="V46">
        <v>0</v>
      </c>
      <c r="W46">
        <v>0</v>
      </c>
      <c r="X46">
        <v>0</v>
      </c>
      <c r="Y46">
        <v>0</v>
      </c>
      <c r="Z46">
        <v>0</v>
      </c>
      <c r="AA46">
        <v>0</v>
      </c>
      <c r="AB46">
        <v>0</v>
      </c>
      <c r="AC46" t="s">
        <v>73</v>
      </c>
      <c r="AD46">
        <v>0</v>
      </c>
      <c r="AE46">
        <v>0</v>
      </c>
      <c r="AF46">
        <v>0</v>
      </c>
      <c r="AG46">
        <v>0</v>
      </c>
      <c r="AH46">
        <v>2</v>
      </c>
      <c r="AI46">
        <v>65</v>
      </c>
      <c r="AJ46">
        <v>14</v>
      </c>
      <c r="AK46" t="s">
        <v>72</v>
      </c>
      <c r="AL46" t="s">
        <v>73</v>
      </c>
      <c r="AM46" s="42" t="s">
        <v>73</v>
      </c>
      <c r="AN46" t="s">
        <v>426</v>
      </c>
      <c r="AO46" s="56">
        <v>46019.964398148149</v>
      </c>
      <c r="AP46" s="56">
        <v>46019.922731481478</v>
      </c>
      <c r="AQ46" t="s">
        <v>73</v>
      </c>
      <c r="AR46" t="s">
        <v>73</v>
      </c>
      <c r="AS46" t="s">
        <v>73</v>
      </c>
      <c r="AT46" t="s">
        <v>73</v>
      </c>
      <c r="AU46" t="s">
        <v>73</v>
      </c>
      <c r="AV46" t="s">
        <v>73</v>
      </c>
      <c r="AW46">
        <v>0</v>
      </c>
      <c r="AX46" t="s">
        <v>73</v>
      </c>
      <c r="AY46" t="s">
        <v>158</v>
      </c>
      <c r="AZ46" t="s">
        <v>158</v>
      </c>
      <c r="BA46" t="s">
        <v>158</v>
      </c>
      <c r="BB46"/>
      <c r="BC46"/>
    </row>
    <row r="47" spans="1:55" ht="16" x14ac:dyDescent="0.2">
      <c r="A47" t="s">
        <v>154</v>
      </c>
      <c r="B47" t="s">
        <v>410</v>
      </c>
      <c r="C47" t="s">
        <v>411</v>
      </c>
      <c r="D47" t="s">
        <v>73</v>
      </c>
      <c r="E47" t="s">
        <v>72</v>
      </c>
      <c r="F47" t="s">
        <v>73</v>
      </c>
      <c r="G47" t="s">
        <v>73</v>
      </c>
      <c r="I47">
        <v>4</v>
      </c>
      <c r="J47">
        <v>4</v>
      </c>
      <c r="L47">
        <v>3</v>
      </c>
      <c r="Q47">
        <v>0</v>
      </c>
      <c r="R47">
        <v>0</v>
      </c>
      <c r="S47">
        <v>0</v>
      </c>
      <c r="T47">
        <v>0</v>
      </c>
      <c r="U47" t="s">
        <v>73</v>
      </c>
      <c r="V47">
        <v>0</v>
      </c>
      <c r="W47">
        <v>0</v>
      </c>
      <c r="X47">
        <v>0</v>
      </c>
      <c r="Y47">
        <v>0</v>
      </c>
      <c r="Z47">
        <v>0</v>
      </c>
      <c r="AA47">
        <v>0</v>
      </c>
      <c r="AB47">
        <v>0</v>
      </c>
      <c r="AC47" t="s">
        <v>73</v>
      </c>
      <c r="AD47">
        <v>4</v>
      </c>
      <c r="AE47">
        <v>4</v>
      </c>
      <c r="AF47">
        <v>0</v>
      </c>
      <c r="AG47">
        <v>4</v>
      </c>
      <c r="AH47">
        <v>0</v>
      </c>
      <c r="AI47">
        <v>30</v>
      </c>
      <c r="AJ47">
        <v>6</v>
      </c>
      <c r="AK47" t="s">
        <v>73</v>
      </c>
      <c r="AL47" t="s">
        <v>73</v>
      </c>
      <c r="AM47" s="42" t="s">
        <v>73</v>
      </c>
      <c r="AN47" t="s">
        <v>412</v>
      </c>
      <c r="AO47" s="56">
        <v>46019.661631944444</v>
      </c>
      <c r="AP47" s="56">
        <v>46019.61996527778</v>
      </c>
      <c r="AQ47" t="s">
        <v>73</v>
      </c>
      <c r="AR47" t="s">
        <v>73</v>
      </c>
      <c r="AS47" t="s">
        <v>73</v>
      </c>
      <c r="AT47" t="s">
        <v>73</v>
      </c>
      <c r="AU47" t="s">
        <v>73</v>
      </c>
      <c r="AV47" t="s">
        <v>73</v>
      </c>
      <c r="AW47">
        <v>0</v>
      </c>
      <c r="AX47" t="s">
        <v>73</v>
      </c>
      <c r="AY47" t="s">
        <v>158</v>
      </c>
      <c r="AZ47" t="s">
        <v>158</v>
      </c>
      <c r="BA47" t="s">
        <v>158</v>
      </c>
      <c r="BB47"/>
      <c r="BC47"/>
    </row>
    <row r="48" spans="1:55" ht="32" x14ac:dyDescent="0.2">
      <c r="A48" t="s">
        <v>154</v>
      </c>
      <c r="B48" t="s">
        <v>413</v>
      </c>
      <c r="C48" t="s">
        <v>414</v>
      </c>
      <c r="D48" t="s">
        <v>73</v>
      </c>
      <c r="E48" t="s">
        <v>72</v>
      </c>
      <c r="F48" t="s">
        <v>73</v>
      </c>
      <c r="G48" t="s">
        <v>73</v>
      </c>
      <c r="I48">
        <v>8</v>
      </c>
      <c r="J48">
        <v>6</v>
      </c>
      <c r="L48">
        <v>8</v>
      </c>
      <c r="Q48">
        <v>0</v>
      </c>
      <c r="R48">
        <v>0</v>
      </c>
      <c r="S48">
        <v>0</v>
      </c>
      <c r="T48">
        <v>0</v>
      </c>
      <c r="U48" t="s">
        <v>73</v>
      </c>
      <c r="V48">
        <v>0</v>
      </c>
      <c r="W48">
        <v>0</v>
      </c>
      <c r="X48">
        <v>2</v>
      </c>
      <c r="Y48">
        <v>2</v>
      </c>
      <c r="Z48">
        <v>0</v>
      </c>
      <c r="AA48">
        <v>0</v>
      </c>
      <c r="AB48">
        <v>0</v>
      </c>
      <c r="AC48" t="s">
        <v>73</v>
      </c>
      <c r="AD48">
        <v>6</v>
      </c>
      <c r="AE48">
        <v>6</v>
      </c>
      <c r="AF48">
        <v>0</v>
      </c>
      <c r="AG48">
        <v>6</v>
      </c>
      <c r="AH48">
        <v>2</v>
      </c>
      <c r="AI48">
        <v>120</v>
      </c>
      <c r="AJ48">
        <v>14</v>
      </c>
      <c r="AK48" t="s">
        <v>72</v>
      </c>
      <c r="AL48" t="s">
        <v>72</v>
      </c>
      <c r="AM48" s="42" t="s">
        <v>415</v>
      </c>
      <c r="AN48" t="s">
        <v>416</v>
      </c>
      <c r="AO48" s="56">
        <v>46019.654583333337</v>
      </c>
      <c r="AP48" s="56">
        <v>46022.349317129629</v>
      </c>
      <c r="AQ48" t="s">
        <v>73</v>
      </c>
      <c r="AR48" t="s">
        <v>73</v>
      </c>
      <c r="AS48" t="s">
        <v>73</v>
      </c>
      <c r="AT48" t="s">
        <v>73</v>
      </c>
      <c r="AU48" t="s">
        <v>73</v>
      </c>
      <c r="AV48" t="s">
        <v>73</v>
      </c>
      <c r="AW48">
        <v>0</v>
      </c>
      <c r="AX48" t="s">
        <v>73</v>
      </c>
      <c r="AY48" t="s">
        <v>158</v>
      </c>
      <c r="AZ48" t="s">
        <v>158</v>
      </c>
      <c r="BA48" t="s">
        <v>158</v>
      </c>
      <c r="BB48"/>
      <c r="BC48"/>
    </row>
    <row r="49" spans="1:55" ht="16" x14ac:dyDescent="0.2">
      <c r="A49" t="s">
        <v>154</v>
      </c>
      <c r="B49" t="s">
        <v>394</v>
      </c>
      <c r="C49" t="s">
        <v>395</v>
      </c>
      <c r="D49" t="s">
        <v>73</v>
      </c>
      <c r="E49" t="s">
        <v>72</v>
      </c>
      <c r="F49" t="s">
        <v>73</v>
      </c>
      <c r="G49" t="s">
        <v>73</v>
      </c>
      <c r="I49">
        <v>16</v>
      </c>
      <c r="Q49">
        <v>0</v>
      </c>
      <c r="R49">
        <v>0</v>
      </c>
      <c r="S49">
        <v>0</v>
      </c>
      <c r="T49">
        <v>0</v>
      </c>
      <c r="U49" t="s">
        <v>73</v>
      </c>
      <c r="V49">
        <v>0</v>
      </c>
      <c r="W49">
        <v>0</v>
      </c>
      <c r="X49">
        <v>3</v>
      </c>
      <c r="Y49">
        <v>2</v>
      </c>
      <c r="Z49">
        <v>1</v>
      </c>
      <c r="AA49">
        <v>0</v>
      </c>
      <c r="AB49">
        <v>0</v>
      </c>
      <c r="AC49" t="s">
        <v>73</v>
      </c>
      <c r="AD49">
        <v>4</v>
      </c>
      <c r="AE49">
        <v>4</v>
      </c>
      <c r="AF49">
        <v>0</v>
      </c>
      <c r="AG49">
        <v>5</v>
      </c>
      <c r="AH49">
        <v>0</v>
      </c>
      <c r="AI49">
        <v>110</v>
      </c>
      <c r="AJ49">
        <v>15</v>
      </c>
      <c r="AK49" t="s">
        <v>72</v>
      </c>
      <c r="AL49" t="s">
        <v>72</v>
      </c>
      <c r="AM49" s="42" t="s">
        <v>73</v>
      </c>
      <c r="AN49" t="s">
        <v>396</v>
      </c>
      <c r="AO49" s="56">
        <v>46017.53334490741</v>
      </c>
      <c r="AP49" s="56">
        <v>46017.491678240738</v>
      </c>
      <c r="AQ49" t="s">
        <v>73</v>
      </c>
      <c r="AR49" t="s">
        <v>73</v>
      </c>
      <c r="AS49" t="s">
        <v>73</v>
      </c>
      <c r="AT49" t="s">
        <v>73</v>
      </c>
      <c r="AU49" t="s">
        <v>73</v>
      </c>
      <c r="AV49" t="s">
        <v>73</v>
      </c>
      <c r="AW49">
        <v>0</v>
      </c>
      <c r="AX49" t="s">
        <v>73</v>
      </c>
      <c r="AY49" t="s">
        <v>158</v>
      </c>
      <c r="AZ49" t="s">
        <v>158</v>
      </c>
      <c r="BA49" t="s">
        <v>158</v>
      </c>
      <c r="BB49"/>
      <c r="BC49"/>
    </row>
    <row r="50" spans="1:55" ht="16" x14ac:dyDescent="0.2">
      <c r="A50" t="s">
        <v>154</v>
      </c>
      <c r="B50" t="s">
        <v>343</v>
      </c>
      <c r="C50" t="s">
        <v>344</v>
      </c>
      <c r="D50" t="s">
        <v>73</v>
      </c>
      <c r="E50" t="s">
        <v>72</v>
      </c>
      <c r="F50" t="s">
        <v>72</v>
      </c>
      <c r="G50" t="s">
        <v>73</v>
      </c>
      <c r="I50">
        <v>12</v>
      </c>
      <c r="J50">
        <v>4</v>
      </c>
      <c r="L50">
        <v>9</v>
      </c>
      <c r="N50">
        <v>10</v>
      </c>
      <c r="O50">
        <v>4</v>
      </c>
      <c r="Q50">
        <v>1</v>
      </c>
      <c r="R50">
        <v>0</v>
      </c>
      <c r="S50">
        <v>0</v>
      </c>
      <c r="T50">
        <v>1</v>
      </c>
      <c r="U50" t="s">
        <v>73</v>
      </c>
      <c r="V50">
        <v>0</v>
      </c>
      <c r="W50">
        <v>0</v>
      </c>
      <c r="X50">
        <v>3</v>
      </c>
      <c r="Y50">
        <v>3</v>
      </c>
      <c r="Z50">
        <v>0</v>
      </c>
      <c r="AA50">
        <v>0</v>
      </c>
      <c r="AB50">
        <v>0</v>
      </c>
      <c r="AC50" t="s">
        <v>72</v>
      </c>
      <c r="AD50">
        <v>6</v>
      </c>
      <c r="AE50">
        <v>6</v>
      </c>
      <c r="AF50">
        <v>0</v>
      </c>
      <c r="AG50">
        <v>0</v>
      </c>
      <c r="AH50">
        <v>2</v>
      </c>
      <c r="AI50">
        <v>125</v>
      </c>
      <c r="AJ50">
        <v>20</v>
      </c>
      <c r="AK50" t="s">
        <v>72</v>
      </c>
      <c r="AL50" t="s">
        <v>72</v>
      </c>
      <c r="AM50" s="42" t="s">
        <v>73</v>
      </c>
      <c r="AN50" t="s">
        <v>345</v>
      </c>
      <c r="AO50" s="56">
        <v>46013.470543981479</v>
      </c>
      <c r="AP50" s="56">
        <v>46044.744247685187</v>
      </c>
      <c r="AQ50" t="s">
        <v>73</v>
      </c>
      <c r="AR50" t="s">
        <v>73</v>
      </c>
      <c r="AS50" t="s">
        <v>73</v>
      </c>
      <c r="AT50" t="s">
        <v>73</v>
      </c>
      <c r="AU50" t="s">
        <v>73</v>
      </c>
      <c r="AV50" t="s">
        <v>73</v>
      </c>
      <c r="AW50">
        <v>0</v>
      </c>
      <c r="AX50" t="s">
        <v>73</v>
      </c>
      <c r="AY50" t="s">
        <v>158</v>
      </c>
      <c r="AZ50" t="s">
        <v>158</v>
      </c>
      <c r="BA50" t="s">
        <v>158</v>
      </c>
      <c r="BB50"/>
      <c r="BC50"/>
    </row>
    <row r="51" spans="1:55" ht="16" x14ac:dyDescent="0.2">
      <c r="A51" t="s">
        <v>154</v>
      </c>
      <c r="B51" t="s">
        <v>322</v>
      </c>
      <c r="C51" t="s">
        <v>323</v>
      </c>
      <c r="D51" t="s">
        <v>73</v>
      </c>
      <c r="E51" t="s">
        <v>72</v>
      </c>
      <c r="F51" t="s">
        <v>72</v>
      </c>
      <c r="G51" t="s">
        <v>73</v>
      </c>
      <c r="I51">
        <v>6</v>
      </c>
      <c r="Q51">
        <v>3</v>
      </c>
      <c r="R51">
        <v>2</v>
      </c>
      <c r="S51">
        <v>1</v>
      </c>
      <c r="T51">
        <v>0</v>
      </c>
      <c r="U51" t="s">
        <v>73</v>
      </c>
      <c r="V51">
        <v>0</v>
      </c>
      <c r="W51">
        <v>0</v>
      </c>
      <c r="X51">
        <v>0</v>
      </c>
      <c r="Y51">
        <v>0</v>
      </c>
      <c r="Z51">
        <v>0</v>
      </c>
      <c r="AA51">
        <v>0</v>
      </c>
      <c r="AB51">
        <v>0</v>
      </c>
      <c r="AC51" t="s">
        <v>72</v>
      </c>
      <c r="AD51">
        <v>6</v>
      </c>
      <c r="AE51">
        <v>6</v>
      </c>
      <c r="AF51">
        <v>0</v>
      </c>
      <c r="AG51">
        <v>6</v>
      </c>
      <c r="AH51">
        <v>0</v>
      </c>
      <c r="AI51">
        <v>55</v>
      </c>
      <c r="AJ51">
        <v>1</v>
      </c>
      <c r="AK51" t="s">
        <v>73</v>
      </c>
      <c r="AL51" t="s">
        <v>73</v>
      </c>
      <c r="AM51" s="42" t="s">
        <v>73</v>
      </c>
      <c r="AN51" t="s">
        <v>328</v>
      </c>
      <c r="AO51" s="56">
        <v>46011.7966087963</v>
      </c>
      <c r="AP51" s="56">
        <v>46011.754942129628</v>
      </c>
      <c r="AQ51" t="s">
        <v>73</v>
      </c>
      <c r="AR51" t="s">
        <v>73</v>
      </c>
      <c r="AS51" t="s">
        <v>73</v>
      </c>
      <c r="AT51" t="s">
        <v>73</v>
      </c>
      <c r="AU51" t="s">
        <v>73</v>
      </c>
      <c r="AV51" t="s">
        <v>73</v>
      </c>
      <c r="AW51">
        <v>0</v>
      </c>
      <c r="AX51" t="s">
        <v>73</v>
      </c>
      <c r="AY51" t="s">
        <v>158</v>
      </c>
      <c r="AZ51" t="s">
        <v>158</v>
      </c>
      <c r="BA51" t="s">
        <v>158</v>
      </c>
      <c r="BB51"/>
      <c r="BC51"/>
    </row>
    <row r="52" spans="1:55" ht="16" x14ac:dyDescent="0.2">
      <c r="A52" t="s">
        <v>154</v>
      </c>
      <c r="B52" t="s">
        <v>316</v>
      </c>
      <c r="C52" t="s">
        <v>317</v>
      </c>
      <c r="D52" t="s">
        <v>73</v>
      </c>
      <c r="E52" t="s">
        <v>72</v>
      </c>
      <c r="F52" t="s">
        <v>73</v>
      </c>
      <c r="G52" t="s">
        <v>73</v>
      </c>
      <c r="I52">
        <v>9</v>
      </c>
      <c r="J52">
        <v>9</v>
      </c>
      <c r="L52">
        <v>5</v>
      </c>
      <c r="Q52">
        <v>0</v>
      </c>
      <c r="R52">
        <v>0</v>
      </c>
      <c r="S52">
        <v>0</v>
      </c>
      <c r="T52">
        <v>0</v>
      </c>
      <c r="U52" t="s">
        <v>73</v>
      </c>
      <c r="V52">
        <v>0</v>
      </c>
      <c r="W52">
        <v>0</v>
      </c>
      <c r="X52">
        <v>0</v>
      </c>
      <c r="Y52">
        <v>0</v>
      </c>
      <c r="Z52">
        <v>0</v>
      </c>
      <c r="AA52">
        <v>0</v>
      </c>
      <c r="AB52">
        <v>0</v>
      </c>
      <c r="AC52" t="s">
        <v>73</v>
      </c>
      <c r="AD52">
        <v>6</v>
      </c>
      <c r="AE52">
        <v>6</v>
      </c>
      <c r="AF52">
        <v>0</v>
      </c>
      <c r="AG52">
        <v>6</v>
      </c>
      <c r="AH52">
        <v>2</v>
      </c>
      <c r="AI52">
        <v>75</v>
      </c>
      <c r="AJ52">
        <v>20</v>
      </c>
      <c r="AK52" t="s">
        <v>73</v>
      </c>
      <c r="AL52" t="s">
        <v>72</v>
      </c>
      <c r="AM52" s="42" t="s">
        <v>73</v>
      </c>
      <c r="AN52" t="s">
        <v>318</v>
      </c>
      <c r="AO52" s="56">
        <v>46011.580370370371</v>
      </c>
      <c r="AP52" s="56">
        <v>46011.538703703707</v>
      </c>
      <c r="AQ52" t="s">
        <v>73</v>
      </c>
      <c r="AR52" t="s">
        <v>73</v>
      </c>
      <c r="AS52" t="s">
        <v>73</v>
      </c>
      <c r="AT52" t="s">
        <v>73</v>
      </c>
      <c r="AU52" t="s">
        <v>73</v>
      </c>
      <c r="AV52" t="s">
        <v>73</v>
      </c>
      <c r="AW52">
        <v>0</v>
      </c>
      <c r="AX52" t="s">
        <v>73</v>
      </c>
      <c r="AY52" t="s">
        <v>158</v>
      </c>
      <c r="AZ52" t="s">
        <v>158</v>
      </c>
      <c r="BA52" t="s">
        <v>158</v>
      </c>
      <c r="BB52"/>
      <c r="BC52"/>
    </row>
    <row r="53" spans="1:55" ht="16" x14ac:dyDescent="0.2">
      <c r="A53" t="s">
        <v>154</v>
      </c>
      <c r="B53" t="s">
        <v>271</v>
      </c>
      <c r="C53" t="s">
        <v>272</v>
      </c>
      <c r="D53" t="s">
        <v>73</v>
      </c>
      <c r="E53" t="s">
        <v>72</v>
      </c>
      <c r="F53" t="s">
        <v>73</v>
      </c>
      <c r="G53" t="s">
        <v>73</v>
      </c>
      <c r="I53">
        <v>5</v>
      </c>
      <c r="J53">
        <v>5</v>
      </c>
      <c r="Q53">
        <v>0</v>
      </c>
      <c r="R53">
        <v>0</v>
      </c>
      <c r="S53">
        <v>0</v>
      </c>
      <c r="T53">
        <v>0</v>
      </c>
      <c r="U53" t="s">
        <v>73</v>
      </c>
      <c r="V53">
        <v>0</v>
      </c>
      <c r="W53">
        <v>0</v>
      </c>
      <c r="X53">
        <v>7</v>
      </c>
      <c r="Y53">
        <v>5</v>
      </c>
      <c r="Z53">
        <v>1</v>
      </c>
      <c r="AA53">
        <v>1</v>
      </c>
      <c r="AB53">
        <v>0</v>
      </c>
      <c r="AC53" t="s">
        <v>73</v>
      </c>
      <c r="AD53">
        <v>3</v>
      </c>
      <c r="AE53">
        <v>3</v>
      </c>
      <c r="AF53">
        <v>0</v>
      </c>
      <c r="AG53">
        <v>3</v>
      </c>
      <c r="AH53">
        <v>0</v>
      </c>
      <c r="AI53">
        <v>45</v>
      </c>
      <c r="AJ53">
        <v>10</v>
      </c>
      <c r="AK53" t="s">
        <v>73</v>
      </c>
      <c r="AL53" t="s">
        <v>73</v>
      </c>
      <c r="AM53" s="42" t="s">
        <v>73</v>
      </c>
      <c r="AN53" t="s">
        <v>273</v>
      </c>
      <c r="AO53" s="56">
        <v>46006.608807870369</v>
      </c>
      <c r="AP53" s="56">
        <v>46006.567141203705</v>
      </c>
      <c r="AQ53" t="s">
        <v>73</v>
      </c>
      <c r="AR53" t="s">
        <v>73</v>
      </c>
      <c r="AS53" t="s">
        <v>73</v>
      </c>
      <c r="AT53" t="s">
        <v>73</v>
      </c>
      <c r="AU53" t="s">
        <v>73</v>
      </c>
      <c r="AV53" t="s">
        <v>73</v>
      </c>
      <c r="AW53">
        <v>0</v>
      </c>
      <c r="AX53" t="s">
        <v>73</v>
      </c>
      <c r="AY53" t="s">
        <v>158</v>
      </c>
      <c r="AZ53" t="s">
        <v>158</v>
      </c>
      <c r="BA53" t="s">
        <v>158</v>
      </c>
      <c r="BB53"/>
      <c r="BC53"/>
    </row>
    <row r="54" spans="1:55" ht="16" x14ac:dyDescent="0.2">
      <c r="A54" t="s">
        <v>154</v>
      </c>
      <c r="B54" t="s">
        <v>238</v>
      </c>
      <c r="C54" t="s">
        <v>239</v>
      </c>
      <c r="D54" t="s">
        <v>73</v>
      </c>
      <c r="E54" t="s">
        <v>72</v>
      </c>
      <c r="F54" t="s">
        <v>72</v>
      </c>
      <c r="G54" t="s">
        <v>73</v>
      </c>
      <c r="I54">
        <v>14</v>
      </c>
      <c r="J54">
        <v>10</v>
      </c>
      <c r="L54">
        <v>4</v>
      </c>
      <c r="Q54">
        <v>0</v>
      </c>
      <c r="R54">
        <v>0</v>
      </c>
      <c r="S54">
        <v>0</v>
      </c>
      <c r="T54">
        <v>0</v>
      </c>
      <c r="U54" t="s">
        <v>73</v>
      </c>
      <c r="V54">
        <v>0</v>
      </c>
      <c r="W54">
        <v>0</v>
      </c>
      <c r="X54">
        <v>0</v>
      </c>
      <c r="Y54">
        <v>0</v>
      </c>
      <c r="Z54">
        <v>0</v>
      </c>
      <c r="AA54">
        <v>0</v>
      </c>
      <c r="AB54">
        <v>0</v>
      </c>
      <c r="AC54" t="s">
        <v>73</v>
      </c>
      <c r="AD54">
        <v>4</v>
      </c>
      <c r="AE54">
        <v>4</v>
      </c>
      <c r="AF54">
        <v>0</v>
      </c>
      <c r="AG54">
        <v>4</v>
      </c>
      <c r="AH54">
        <v>0</v>
      </c>
      <c r="AI54">
        <v>60</v>
      </c>
      <c r="AJ54">
        <v>12</v>
      </c>
      <c r="AK54" t="s">
        <v>73</v>
      </c>
      <c r="AL54" t="s">
        <v>73</v>
      </c>
      <c r="AM54" s="42" t="s">
        <v>73</v>
      </c>
      <c r="AN54" t="s">
        <v>240</v>
      </c>
      <c r="AO54" s="56">
        <v>46004.44740740741</v>
      </c>
      <c r="AP54" s="56">
        <v>46004.405740740738</v>
      </c>
      <c r="AQ54" t="s">
        <v>73</v>
      </c>
      <c r="AR54" t="s">
        <v>73</v>
      </c>
      <c r="AS54" t="s">
        <v>73</v>
      </c>
      <c r="AT54" t="s">
        <v>73</v>
      </c>
      <c r="AU54" t="s">
        <v>73</v>
      </c>
      <c r="AV54" t="s">
        <v>73</v>
      </c>
      <c r="AW54">
        <v>0</v>
      </c>
      <c r="AX54" t="s">
        <v>73</v>
      </c>
      <c r="AY54" t="s">
        <v>158</v>
      </c>
      <c r="AZ54" t="s">
        <v>158</v>
      </c>
      <c r="BA54" t="s">
        <v>158</v>
      </c>
      <c r="BB54"/>
      <c r="BC54"/>
    </row>
    <row r="55" spans="1:55" ht="16" x14ac:dyDescent="0.2">
      <c r="A55" t="s">
        <v>154</v>
      </c>
      <c r="B55" t="s">
        <v>209</v>
      </c>
      <c r="C55" t="s">
        <v>210</v>
      </c>
      <c r="D55" t="s">
        <v>73</v>
      </c>
      <c r="E55" t="s">
        <v>72</v>
      </c>
      <c r="F55" t="s">
        <v>72</v>
      </c>
      <c r="G55" t="s">
        <v>73</v>
      </c>
      <c r="I55">
        <v>8</v>
      </c>
      <c r="J55">
        <v>4</v>
      </c>
      <c r="N55">
        <v>4</v>
      </c>
      <c r="Q55">
        <v>3</v>
      </c>
      <c r="R55">
        <v>1</v>
      </c>
      <c r="S55">
        <v>2</v>
      </c>
      <c r="T55">
        <v>0</v>
      </c>
      <c r="U55" t="s">
        <v>73</v>
      </c>
      <c r="V55">
        <v>0</v>
      </c>
      <c r="W55">
        <v>0</v>
      </c>
      <c r="X55">
        <v>8</v>
      </c>
      <c r="Y55">
        <v>6</v>
      </c>
      <c r="Z55">
        <v>1</v>
      </c>
      <c r="AA55">
        <v>0</v>
      </c>
      <c r="AB55">
        <v>1</v>
      </c>
      <c r="AC55" t="s">
        <v>73</v>
      </c>
      <c r="AD55">
        <v>6</v>
      </c>
      <c r="AE55">
        <v>0</v>
      </c>
      <c r="AF55">
        <v>0</v>
      </c>
      <c r="AG55">
        <v>6</v>
      </c>
      <c r="AH55">
        <v>1</v>
      </c>
      <c r="AI55">
        <v>75</v>
      </c>
      <c r="AJ55">
        <v>27</v>
      </c>
      <c r="AK55" t="s">
        <v>72</v>
      </c>
      <c r="AL55" t="s">
        <v>73</v>
      </c>
      <c r="AM55" s="42" t="s">
        <v>73</v>
      </c>
      <c r="AN55" t="s">
        <v>222</v>
      </c>
      <c r="AO55" s="56">
        <v>46002.949131944442</v>
      </c>
      <c r="AP55" s="56">
        <v>46046.450266203705</v>
      </c>
      <c r="AQ55" t="s">
        <v>73</v>
      </c>
      <c r="AR55" t="s">
        <v>73</v>
      </c>
      <c r="AS55" t="s">
        <v>73</v>
      </c>
      <c r="AT55" t="s">
        <v>73</v>
      </c>
      <c r="AU55" t="s">
        <v>73</v>
      </c>
      <c r="AV55" t="s">
        <v>73</v>
      </c>
      <c r="AW55">
        <v>0</v>
      </c>
      <c r="AX55" t="s">
        <v>73</v>
      </c>
      <c r="AY55" t="s">
        <v>158</v>
      </c>
      <c r="AZ55" t="s">
        <v>158</v>
      </c>
      <c r="BA55" t="s">
        <v>158</v>
      </c>
      <c r="BB55"/>
      <c r="BC55"/>
    </row>
    <row r="56" spans="1:55" ht="16" x14ac:dyDescent="0.2">
      <c r="A56" t="s">
        <v>154</v>
      </c>
      <c r="B56" t="s">
        <v>199</v>
      </c>
      <c r="C56" t="s">
        <v>200</v>
      </c>
      <c r="D56" t="s">
        <v>73</v>
      </c>
      <c r="E56" t="s">
        <v>72</v>
      </c>
      <c r="F56" t="s">
        <v>73</v>
      </c>
      <c r="G56" t="s">
        <v>73</v>
      </c>
      <c r="I56">
        <v>4</v>
      </c>
      <c r="Q56">
        <v>0</v>
      </c>
      <c r="R56">
        <v>0</v>
      </c>
      <c r="S56">
        <v>0</v>
      </c>
      <c r="T56">
        <v>0</v>
      </c>
      <c r="U56" t="s">
        <v>73</v>
      </c>
      <c r="V56">
        <v>0</v>
      </c>
      <c r="W56">
        <v>0</v>
      </c>
      <c r="X56">
        <v>0</v>
      </c>
      <c r="Y56">
        <v>0</v>
      </c>
      <c r="Z56">
        <v>0</v>
      </c>
      <c r="AA56">
        <v>0</v>
      </c>
      <c r="AB56">
        <v>0</v>
      </c>
      <c r="AC56" t="s">
        <v>72</v>
      </c>
      <c r="AD56">
        <v>6</v>
      </c>
      <c r="AE56">
        <v>6</v>
      </c>
      <c r="AF56">
        <v>0</v>
      </c>
      <c r="AG56">
        <v>6</v>
      </c>
      <c r="AH56">
        <v>0</v>
      </c>
      <c r="AI56">
        <v>30</v>
      </c>
      <c r="AJ56">
        <v>0</v>
      </c>
      <c r="AK56" t="s">
        <v>73</v>
      </c>
      <c r="AL56" t="s">
        <v>73</v>
      </c>
      <c r="AM56" s="42" t="s">
        <v>73</v>
      </c>
      <c r="AN56" t="s">
        <v>201</v>
      </c>
      <c r="AO56" s="56">
        <v>46000.938506944447</v>
      </c>
      <c r="AP56" s="56">
        <v>46000.896840277775</v>
      </c>
      <c r="AQ56" t="s">
        <v>73</v>
      </c>
      <c r="AR56" t="s">
        <v>73</v>
      </c>
      <c r="AS56" t="s">
        <v>73</v>
      </c>
      <c r="AT56" t="s">
        <v>73</v>
      </c>
      <c r="AU56" t="s">
        <v>73</v>
      </c>
      <c r="AV56" t="s">
        <v>73</v>
      </c>
      <c r="AW56">
        <v>0</v>
      </c>
      <c r="AX56" t="s">
        <v>73</v>
      </c>
      <c r="AY56" t="s">
        <v>158</v>
      </c>
      <c r="AZ56" t="s">
        <v>158</v>
      </c>
      <c r="BA56" t="s">
        <v>158</v>
      </c>
      <c r="BB56"/>
      <c r="BC56"/>
    </row>
    <row r="57" spans="1:55" ht="16" x14ac:dyDescent="0.2">
      <c r="A57" t="s">
        <v>154</v>
      </c>
      <c r="B57" t="s">
        <v>162</v>
      </c>
      <c r="C57" t="s">
        <v>163</v>
      </c>
      <c r="D57" t="s">
        <v>73</v>
      </c>
      <c r="E57" t="s">
        <v>72</v>
      </c>
      <c r="F57" t="s">
        <v>72</v>
      </c>
      <c r="G57" t="s">
        <v>73</v>
      </c>
      <c r="I57">
        <v>8</v>
      </c>
      <c r="Q57">
        <v>0</v>
      </c>
      <c r="R57">
        <v>0</v>
      </c>
      <c r="S57">
        <v>0</v>
      </c>
      <c r="T57">
        <v>0</v>
      </c>
      <c r="U57" t="s">
        <v>73</v>
      </c>
      <c r="V57">
        <v>0</v>
      </c>
      <c r="W57">
        <v>0</v>
      </c>
      <c r="X57">
        <v>3</v>
      </c>
      <c r="Y57">
        <v>3</v>
      </c>
      <c r="Z57">
        <v>0</v>
      </c>
      <c r="AA57">
        <v>0</v>
      </c>
      <c r="AB57">
        <v>0</v>
      </c>
      <c r="AC57" t="s">
        <v>72</v>
      </c>
      <c r="AD57">
        <v>6</v>
      </c>
      <c r="AE57">
        <v>4</v>
      </c>
      <c r="AF57">
        <v>0</v>
      </c>
      <c r="AG57">
        <v>6</v>
      </c>
      <c r="AH57">
        <v>0</v>
      </c>
      <c r="AI57">
        <v>60</v>
      </c>
      <c r="AJ57">
        <v>6</v>
      </c>
      <c r="AK57" t="s">
        <v>72</v>
      </c>
      <c r="AL57" t="s">
        <v>72</v>
      </c>
      <c r="AM57" s="42" t="s">
        <v>73</v>
      </c>
      <c r="AN57" t="s">
        <v>164</v>
      </c>
      <c r="AO57" s="56">
        <v>45993.926157407404</v>
      </c>
      <c r="AP57" s="56">
        <v>45993.88449074074</v>
      </c>
      <c r="AQ57" t="s">
        <v>73</v>
      </c>
      <c r="AR57" t="s">
        <v>73</v>
      </c>
      <c r="AS57" t="s">
        <v>73</v>
      </c>
      <c r="AT57" t="s">
        <v>73</v>
      </c>
      <c r="AU57" t="s">
        <v>73</v>
      </c>
      <c r="AV57" t="s">
        <v>73</v>
      </c>
      <c r="AW57">
        <v>0</v>
      </c>
      <c r="AX57" t="s">
        <v>73</v>
      </c>
      <c r="AY57" t="s">
        <v>158</v>
      </c>
      <c r="AZ57" t="s">
        <v>158</v>
      </c>
      <c r="BA57" t="s">
        <v>158</v>
      </c>
      <c r="BB57"/>
      <c r="BC57"/>
    </row>
    <row r="58" spans="1:55" ht="128" x14ac:dyDescent="0.2">
      <c r="A58" t="s">
        <v>223</v>
      </c>
      <c r="B58" t="s">
        <v>430</v>
      </c>
      <c r="C58" t="s">
        <v>431</v>
      </c>
      <c r="D58" t="s">
        <v>73</v>
      </c>
      <c r="E58" t="s">
        <v>72</v>
      </c>
      <c r="F58" t="s">
        <v>72</v>
      </c>
      <c r="G58" t="s">
        <v>73</v>
      </c>
      <c r="Q58">
        <v>0</v>
      </c>
      <c r="R58">
        <v>0</v>
      </c>
      <c r="S58">
        <v>0</v>
      </c>
      <c r="T58">
        <v>0</v>
      </c>
      <c r="U58" t="s">
        <v>73</v>
      </c>
      <c r="V58">
        <v>0</v>
      </c>
      <c r="W58">
        <v>0</v>
      </c>
      <c r="X58">
        <v>0</v>
      </c>
      <c r="Y58">
        <v>0</v>
      </c>
      <c r="Z58">
        <v>0</v>
      </c>
      <c r="AA58">
        <v>0</v>
      </c>
      <c r="AB58">
        <v>0</v>
      </c>
      <c r="AC58" t="s">
        <v>73</v>
      </c>
      <c r="AD58">
        <v>0</v>
      </c>
      <c r="AE58">
        <v>0</v>
      </c>
      <c r="AF58">
        <v>0</v>
      </c>
      <c r="AG58">
        <v>0</v>
      </c>
      <c r="AH58">
        <v>0</v>
      </c>
      <c r="AI58">
        <v>3</v>
      </c>
      <c r="AJ58">
        <v>1</v>
      </c>
      <c r="AK58" t="s">
        <v>73</v>
      </c>
      <c r="AL58" t="s">
        <v>73</v>
      </c>
      <c r="AM58" s="42" t="s">
        <v>454</v>
      </c>
      <c r="AN58" t="s">
        <v>432</v>
      </c>
      <c r="AO58" s="56">
        <v>46021.504652777781</v>
      </c>
      <c r="AP58" s="56">
        <v>46023.429745370369</v>
      </c>
      <c r="AQ58" t="s">
        <v>73</v>
      </c>
      <c r="AR58" t="s">
        <v>73</v>
      </c>
      <c r="AS58" t="s">
        <v>73</v>
      </c>
      <c r="AT58" t="s">
        <v>73</v>
      </c>
      <c r="AU58" t="s">
        <v>73</v>
      </c>
      <c r="AV58" t="s">
        <v>73</v>
      </c>
      <c r="AW58">
        <v>0</v>
      </c>
      <c r="AX58" t="s">
        <v>73</v>
      </c>
      <c r="AY58" t="s">
        <v>158</v>
      </c>
      <c r="AZ58" t="s">
        <v>158</v>
      </c>
      <c r="BA58" t="s">
        <v>158</v>
      </c>
      <c r="BB58"/>
      <c r="BC58"/>
    </row>
    <row r="59" spans="1:55" ht="16" x14ac:dyDescent="0.2">
      <c r="A59" t="s">
        <v>223</v>
      </c>
      <c r="B59" t="s">
        <v>368</v>
      </c>
      <c r="C59" t="s">
        <v>369</v>
      </c>
      <c r="D59" t="s">
        <v>73</v>
      </c>
      <c r="E59" t="s">
        <v>72</v>
      </c>
      <c r="F59" t="s">
        <v>72</v>
      </c>
      <c r="G59" t="s">
        <v>73</v>
      </c>
      <c r="Q59">
        <v>0</v>
      </c>
      <c r="R59">
        <v>0</v>
      </c>
      <c r="S59">
        <v>0</v>
      </c>
      <c r="T59">
        <v>0</v>
      </c>
      <c r="U59" t="s">
        <v>73</v>
      </c>
      <c r="V59">
        <v>0</v>
      </c>
      <c r="W59">
        <v>0</v>
      </c>
      <c r="X59">
        <v>0</v>
      </c>
      <c r="Y59">
        <v>0</v>
      </c>
      <c r="Z59">
        <v>0</v>
      </c>
      <c r="AA59">
        <v>0</v>
      </c>
      <c r="AB59">
        <v>0</v>
      </c>
      <c r="AC59" t="s">
        <v>73</v>
      </c>
      <c r="AD59">
        <v>0</v>
      </c>
      <c r="AE59">
        <v>0</v>
      </c>
      <c r="AF59">
        <v>0</v>
      </c>
      <c r="AG59">
        <v>0</v>
      </c>
      <c r="AH59">
        <v>0</v>
      </c>
      <c r="AI59">
        <v>10</v>
      </c>
      <c r="AJ59">
        <v>0</v>
      </c>
      <c r="AK59" t="s">
        <v>73</v>
      </c>
      <c r="AL59" t="s">
        <v>73</v>
      </c>
      <c r="AM59" s="42" t="s">
        <v>73</v>
      </c>
      <c r="AN59" t="s">
        <v>370</v>
      </c>
      <c r="AO59" s="56">
        <v>46015.715069444443</v>
      </c>
      <c r="AP59" s="56">
        <v>46015.673402777778</v>
      </c>
      <c r="AQ59" t="s">
        <v>73</v>
      </c>
      <c r="AR59" t="s">
        <v>73</v>
      </c>
      <c r="AS59" t="s">
        <v>73</v>
      </c>
      <c r="AT59" t="s">
        <v>73</v>
      </c>
      <c r="AU59" t="s">
        <v>73</v>
      </c>
      <c r="AV59" t="s">
        <v>73</v>
      </c>
      <c r="AW59">
        <v>0</v>
      </c>
      <c r="AX59" t="s">
        <v>73</v>
      </c>
      <c r="AY59" t="s">
        <v>158</v>
      </c>
      <c r="AZ59" t="s">
        <v>158</v>
      </c>
      <c r="BA59" t="s">
        <v>158</v>
      </c>
      <c r="BB59"/>
      <c r="BC59"/>
    </row>
    <row r="60" spans="1:55" ht="16" x14ac:dyDescent="0.2">
      <c r="A60" t="s">
        <v>223</v>
      </c>
      <c r="B60" t="s">
        <v>336</v>
      </c>
      <c r="C60" t="s">
        <v>337</v>
      </c>
      <c r="D60" t="s">
        <v>73</v>
      </c>
      <c r="E60" t="s">
        <v>72</v>
      </c>
      <c r="F60" t="s">
        <v>72</v>
      </c>
      <c r="G60" t="s">
        <v>73</v>
      </c>
      <c r="Q60">
        <v>0</v>
      </c>
      <c r="R60">
        <v>0</v>
      </c>
      <c r="S60">
        <v>0</v>
      </c>
      <c r="T60">
        <v>0</v>
      </c>
      <c r="U60" t="s">
        <v>73</v>
      </c>
      <c r="V60">
        <v>0</v>
      </c>
      <c r="W60">
        <v>0</v>
      </c>
      <c r="X60">
        <v>0</v>
      </c>
      <c r="Y60">
        <v>0</v>
      </c>
      <c r="Z60">
        <v>0</v>
      </c>
      <c r="AA60">
        <v>0</v>
      </c>
      <c r="AB60">
        <v>0</v>
      </c>
      <c r="AC60" t="s">
        <v>73</v>
      </c>
      <c r="AD60">
        <v>0</v>
      </c>
      <c r="AE60">
        <v>0</v>
      </c>
      <c r="AF60">
        <v>0</v>
      </c>
      <c r="AG60">
        <v>0</v>
      </c>
      <c r="AH60">
        <v>0</v>
      </c>
      <c r="AI60">
        <v>1</v>
      </c>
      <c r="AJ60">
        <v>1</v>
      </c>
      <c r="AK60" t="s">
        <v>73</v>
      </c>
      <c r="AL60" t="s">
        <v>73</v>
      </c>
      <c r="AM60" s="42" t="s">
        <v>73</v>
      </c>
      <c r="AN60" t="s">
        <v>338</v>
      </c>
      <c r="AO60" s="56">
        <v>46013.519826388889</v>
      </c>
      <c r="AP60" s="56">
        <v>46013.478159722225</v>
      </c>
      <c r="AQ60" t="s">
        <v>73</v>
      </c>
      <c r="AR60" t="s">
        <v>73</v>
      </c>
      <c r="AS60" t="s">
        <v>73</v>
      </c>
      <c r="AT60" t="s">
        <v>73</v>
      </c>
      <c r="AU60" t="s">
        <v>73</v>
      </c>
      <c r="AV60" t="s">
        <v>73</v>
      </c>
      <c r="AW60">
        <v>0</v>
      </c>
      <c r="AX60" t="s">
        <v>73</v>
      </c>
      <c r="AY60" t="s">
        <v>158</v>
      </c>
      <c r="AZ60" t="s">
        <v>158</v>
      </c>
      <c r="BA60" t="s">
        <v>158</v>
      </c>
      <c r="BB60"/>
      <c r="BC60"/>
    </row>
    <row r="61" spans="1:55" ht="32" x14ac:dyDescent="0.2">
      <c r="A61" t="s">
        <v>223</v>
      </c>
      <c r="B61" t="s">
        <v>339</v>
      </c>
      <c r="C61" t="s">
        <v>340</v>
      </c>
      <c r="D61" t="s">
        <v>73</v>
      </c>
      <c r="E61" t="s">
        <v>72</v>
      </c>
      <c r="F61" t="s">
        <v>72</v>
      </c>
      <c r="G61" t="s">
        <v>73</v>
      </c>
      <c r="Q61">
        <v>0</v>
      </c>
      <c r="R61">
        <v>0</v>
      </c>
      <c r="S61">
        <v>0</v>
      </c>
      <c r="T61">
        <v>0</v>
      </c>
      <c r="U61" t="s">
        <v>73</v>
      </c>
      <c r="V61">
        <v>0</v>
      </c>
      <c r="W61">
        <v>0</v>
      </c>
      <c r="X61">
        <v>0</v>
      </c>
      <c r="Y61">
        <v>0</v>
      </c>
      <c r="Z61">
        <v>0</v>
      </c>
      <c r="AA61">
        <v>0</v>
      </c>
      <c r="AB61">
        <v>0</v>
      </c>
      <c r="AC61" t="s">
        <v>73</v>
      </c>
      <c r="AD61">
        <v>0</v>
      </c>
      <c r="AE61">
        <v>0</v>
      </c>
      <c r="AF61">
        <v>0</v>
      </c>
      <c r="AG61">
        <v>0</v>
      </c>
      <c r="AH61">
        <v>0</v>
      </c>
      <c r="AI61">
        <v>35</v>
      </c>
      <c r="AJ61">
        <v>4</v>
      </c>
      <c r="AK61" t="s">
        <v>73</v>
      </c>
      <c r="AL61" t="s">
        <v>73</v>
      </c>
      <c r="AM61" s="42" t="s">
        <v>341</v>
      </c>
      <c r="AN61" t="s">
        <v>342</v>
      </c>
      <c r="AO61" s="56">
        <v>46013.473368055558</v>
      </c>
      <c r="AP61" s="56">
        <v>46013.431701388887</v>
      </c>
      <c r="AQ61" t="s">
        <v>73</v>
      </c>
      <c r="AR61" t="s">
        <v>73</v>
      </c>
      <c r="AS61" t="s">
        <v>73</v>
      </c>
      <c r="AT61" t="s">
        <v>73</v>
      </c>
      <c r="AU61" t="s">
        <v>73</v>
      </c>
      <c r="AV61" t="s">
        <v>73</v>
      </c>
      <c r="AW61">
        <v>0</v>
      </c>
      <c r="AX61" t="s">
        <v>73</v>
      </c>
      <c r="AY61" t="s">
        <v>158</v>
      </c>
      <c r="AZ61" t="s">
        <v>158</v>
      </c>
      <c r="BA61" t="s">
        <v>158</v>
      </c>
      <c r="BB61"/>
      <c r="BC61"/>
    </row>
    <row r="62" spans="1:55" ht="16" x14ac:dyDescent="0.2">
      <c r="A62" t="s">
        <v>223</v>
      </c>
      <c r="B62" t="s">
        <v>274</v>
      </c>
      <c r="C62" t="s">
        <v>275</v>
      </c>
      <c r="D62" t="s">
        <v>73</v>
      </c>
      <c r="E62" t="s">
        <v>72</v>
      </c>
      <c r="F62" t="s">
        <v>72</v>
      </c>
      <c r="G62" t="s">
        <v>73</v>
      </c>
      <c r="Q62">
        <v>0</v>
      </c>
      <c r="R62">
        <v>0</v>
      </c>
      <c r="S62">
        <v>0</v>
      </c>
      <c r="T62">
        <v>0</v>
      </c>
      <c r="U62" t="s">
        <v>73</v>
      </c>
      <c r="V62">
        <v>0</v>
      </c>
      <c r="W62">
        <v>0</v>
      </c>
      <c r="X62">
        <v>0</v>
      </c>
      <c r="Y62">
        <v>0</v>
      </c>
      <c r="Z62">
        <v>0</v>
      </c>
      <c r="AA62">
        <v>0</v>
      </c>
      <c r="AB62">
        <v>0</v>
      </c>
      <c r="AC62" t="s">
        <v>73</v>
      </c>
      <c r="AD62">
        <v>0</v>
      </c>
      <c r="AE62">
        <v>0</v>
      </c>
      <c r="AF62">
        <v>0</v>
      </c>
      <c r="AG62">
        <v>0</v>
      </c>
      <c r="AH62">
        <v>0</v>
      </c>
      <c r="AI62">
        <v>16</v>
      </c>
      <c r="AJ62">
        <v>1</v>
      </c>
      <c r="AK62" t="s">
        <v>73</v>
      </c>
      <c r="AL62" t="s">
        <v>73</v>
      </c>
      <c r="AM62" s="42" t="s">
        <v>276</v>
      </c>
      <c r="AN62" t="s">
        <v>277</v>
      </c>
      <c r="AO62" s="56">
        <v>46006.740833333337</v>
      </c>
      <c r="AP62" s="56">
        <v>46006.699166666665</v>
      </c>
      <c r="AQ62" t="s">
        <v>73</v>
      </c>
      <c r="AR62" t="s">
        <v>73</v>
      </c>
      <c r="AS62" t="s">
        <v>73</v>
      </c>
      <c r="AT62" t="s">
        <v>73</v>
      </c>
      <c r="AU62" t="s">
        <v>73</v>
      </c>
      <c r="AV62" t="s">
        <v>73</v>
      </c>
      <c r="AW62">
        <v>0</v>
      </c>
      <c r="AX62" t="s">
        <v>73</v>
      </c>
      <c r="AY62" t="s">
        <v>158</v>
      </c>
      <c r="AZ62" t="s">
        <v>158</v>
      </c>
      <c r="BA62" t="s">
        <v>158</v>
      </c>
      <c r="BB62"/>
      <c r="BC62"/>
    </row>
    <row r="63" spans="1:55" ht="16" x14ac:dyDescent="0.2">
      <c r="A63" t="s">
        <v>223</v>
      </c>
      <c r="B63" t="s">
        <v>278</v>
      </c>
      <c r="C63" t="s">
        <v>279</v>
      </c>
      <c r="D63" t="s">
        <v>73</v>
      </c>
      <c r="E63" t="s">
        <v>72</v>
      </c>
      <c r="F63" t="s">
        <v>72</v>
      </c>
      <c r="G63" t="s">
        <v>73</v>
      </c>
      <c r="Q63">
        <v>0</v>
      </c>
      <c r="R63">
        <v>0</v>
      </c>
      <c r="S63">
        <v>0</v>
      </c>
      <c r="T63">
        <v>0</v>
      </c>
      <c r="U63" t="s">
        <v>73</v>
      </c>
      <c r="V63">
        <v>0</v>
      </c>
      <c r="W63">
        <v>0</v>
      </c>
      <c r="X63">
        <v>0</v>
      </c>
      <c r="Y63">
        <v>0</v>
      </c>
      <c r="Z63">
        <v>0</v>
      </c>
      <c r="AA63">
        <v>0</v>
      </c>
      <c r="AB63">
        <v>0</v>
      </c>
      <c r="AC63" t="s">
        <v>73</v>
      </c>
      <c r="AD63">
        <v>0</v>
      </c>
      <c r="AE63">
        <v>0</v>
      </c>
      <c r="AF63">
        <v>0</v>
      </c>
      <c r="AG63">
        <v>0</v>
      </c>
      <c r="AH63">
        <v>0</v>
      </c>
      <c r="AI63">
        <v>2</v>
      </c>
      <c r="AJ63">
        <v>0</v>
      </c>
      <c r="AK63" t="s">
        <v>73</v>
      </c>
      <c r="AL63" t="s">
        <v>73</v>
      </c>
      <c r="AM63" s="42" t="s">
        <v>73</v>
      </c>
      <c r="AN63" t="s">
        <v>280</v>
      </c>
      <c r="AO63" s="56">
        <v>46006.457418981481</v>
      </c>
      <c r="AP63" s="56">
        <v>46006.415752314817</v>
      </c>
      <c r="AQ63" t="s">
        <v>73</v>
      </c>
      <c r="AR63" t="s">
        <v>73</v>
      </c>
      <c r="AS63" t="s">
        <v>73</v>
      </c>
      <c r="AT63" t="s">
        <v>73</v>
      </c>
      <c r="AU63" t="s">
        <v>73</v>
      </c>
      <c r="AV63" t="s">
        <v>73</v>
      </c>
      <c r="AW63">
        <v>0</v>
      </c>
      <c r="AX63" t="s">
        <v>73</v>
      </c>
      <c r="AY63" t="s">
        <v>158</v>
      </c>
      <c r="AZ63" t="s">
        <v>158</v>
      </c>
      <c r="BA63" t="s">
        <v>158</v>
      </c>
      <c r="BB63"/>
      <c r="BC63"/>
    </row>
    <row r="64" spans="1:55" ht="16" x14ac:dyDescent="0.2">
      <c r="A64" t="s">
        <v>223</v>
      </c>
      <c r="B64" t="s">
        <v>248</v>
      </c>
      <c r="C64" t="s">
        <v>249</v>
      </c>
      <c r="D64" t="s">
        <v>73</v>
      </c>
      <c r="E64" t="s">
        <v>72</v>
      </c>
      <c r="F64" t="s">
        <v>72</v>
      </c>
      <c r="G64" t="s">
        <v>73</v>
      </c>
      <c r="Q64">
        <v>0</v>
      </c>
      <c r="R64">
        <v>0</v>
      </c>
      <c r="S64">
        <v>0</v>
      </c>
      <c r="T64">
        <v>0</v>
      </c>
      <c r="U64" t="s">
        <v>73</v>
      </c>
      <c r="V64">
        <v>0</v>
      </c>
      <c r="W64">
        <v>0</v>
      </c>
      <c r="X64">
        <v>0</v>
      </c>
      <c r="Y64">
        <v>0</v>
      </c>
      <c r="Z64">
        <v>0</v>
      </c>
      <c r="AA64">
        <v>0</v>
      </c>
      <c r="AB64">
        <v>0</v>
      </c>
      <c r="AC64" t="s">
        <v>73</v>
      </c>
      <c r="AD64">
        <v>0</v>
      </c>
      <c r="AE64">
        <v>0</v>
      </c>
      <c r="AF64">
        <v>0</v>
      </c>
      <c r="AG64">
        <v>0</v>
      </c>
      <c r="AH64">
        <v>0</v>
      </c>
      <c r="AI64">
        <v>46</v>
      </c>
      <c r="AJ64">
        <v>46</v>
      </c>
      <c r="AK64" t="s">
        <v>73</v>
      </c>
      <c r="AL64" t="s">
        <v>73</v>
      </c>
      <c r="AM64" s="42" t="s">
        <v>73</v>
      </c>
      <c r="AN64" t="s">
        <v>250</v>
      </c>
      <c r="AO64" s="56">
        <v>46005.58252314815</v>
      </c>
      <c r="AP64" s="56">
        <v>46005.540856481479</v>
      </c>
      <c r="AQ64" t="s">
        <v>73</v>
      </c>
      <c r="AR64" t="s">
        <v>73</v>
      </c>
      <c r="AS64" t="s">
        <v>73</v>
      </c>
      <c r="AT64" t="s">
        <v>73</v>
      </c>
      <c r="AU64" t="s">
        <v>73</v>
      </c>
      <c r="AV64" t="s">
        <v>73</v>
      </c>
      <c r="AW64">
        <v>0</v>
      </c>
      <c r="AX64" t="s">
        <v>73</v>
      </c>
      <c r="AY64" t="s">
        <v>158</v>
      </c>
      <c r="AZ64" t="s">
        <v>158</v>
      </c>
      <c r="BA64" t="s">
        <v>158</v>
      </c>
      <c r="BB64"/>
      <c r="BC64"/>
    </row>
    <row r="65" spans="1:55" ht="16" x14ac:dyDescent="0.2">
      <c r="A65" t="s">
        <v>223</v>
      </c>
      <c r="B65" t="s">
        <v>251</v>
      </c>
      <c r="C65" t="s">
        <v>252</v>
      </c>
      <c r="D65" t="s">
        <v>73</v>
      </c>
      <c r="E65" t="s">
        <v>72</v>
      </c>
      <c r="F65" t="s">
        <v>73</v>
      </c>
      <c r="G65" t="s">
        <v>73</v>
      </c>
      <c r="Q65">
        <v>0</v>
      </c>
      <c r="R65">
        <v>0</v>
      </c>
      <c r="S65">
        <v>0</v>
      </c>
      <c r="T65">
        <v>0</v>
      </c>
      <c r="U65" t="s">
        <v>73</v>
      </c>
      <c r="V65">
        <v>0</v>
      </c>
      <c r="W65">
        <v>0</v>
      </c>
      <c r="X65">
        <v>0</v>
      </c>
      <c r="Y65">
        <v>0</v>
      </c>
      <c r="Z65">
        <v>0</v>
      </c>
      <c r="AA65">
        <v>0</v>
      </c>
      <c r="AB65">
        <v>0</v>
      </c>
      <c r="AC65" t="s">
        <v>73</v>
      </c>
      <c r="AD65">
        <v>0</v>
      </c>
      <c r="AE65">
        <v>0</v>
      </c>
      <c r="AF65">
        <v>0</v>
      </c>
      <c r="AG65">
        <v>0</v>
      </c>
      <c r="AH65">
        <v>0</v>
      </c>
      <c r="AI65">
        <v>90</v>
      </c>
      <c r="AJ65">
        <v>0</v>
      </c>
      <c r="AK65" t="s">
        <v>73</v>
      </c>
      <c r="AL65" t="s">
        <v>73</v>
      </c>
      <c r="AM65" s="42" t="s">
        <v>73</v>
      </c>
      <c r="AN65" t="s">
        <v>253</v>
      </c>
      <c r="AO65" s="56">
        <v>46005.544618055559</v>
      </c>
      <c r="AP65" s="56">
        <v>46005.502951388888</v>
      </c>
      <c r="AQ65" t="s">
        <v>73</v>
      </c>
      <c r="AR65" t="s">
        <v>73</v>
      </c>
      <c r="AS65" t="s">
        <v>73</v>
      </c>
      <c r="AT65" t="s">
        <v>73</v>
      </c>
      <c r="AU65" t="s">
        <v>73</v>
      </c>
      <c r="AV65" t="s">
        <v>73</v>
      </c>
      <c r="AW65">
        <v>0</v>
      </c>
      <c r="AX65" t="s">
        <v>73</v>
      </c>
      <c r="AY65" t="s">
        <v>158</v>
      </c>
      <c r="AZ65" t="s">
        <v>158</v>
      </c>
      <c r="BA65" t="s">
        <v>158</v>
      </c>
      <c r="BB65"/>
      <c r="BC65"/>
    </row>
    <row r="66" spans="1:55" ht="32" x14ac:dyDescent="0.2">
      <c r="A66" t="s">
        <v>223</v>
      </c>
      <c r="B66" t="s">
        <v>224</v>
      </c>
      <c r="C66" t="s">
        <v>225</v>
      </c>
      <c r="D66" t="s">
        <v>73</v>
      </c>
      <c r="E66" t="s">
        <v>72</v>
      </c>
      <c r="F66" t="s">
        <v>72</v>
      </c>
      <c r="G66" t="s">
        <v>73</v>
      </c>
      <c r="Q66">
        <v>0</v>
      </c>
      <c r="R66">
        <v>0</v>
      </c>
      <c r="S66">
        <v>0</v>
      </c>
      <c r="T66">
        <v>0</v>
      </c>
      <c r="U66" t="s">
        <v>73</v>
      </c>
      <c r="V66">
        <v>0</v>
      </c>
      <c r="W66">
        <v>0</v>
      </c>
      <c r="X66">
        <v>0</v>
      </c>
      <c r="Y66">
        <v>0</v>
      </c>
      <c r="Z66">
        <v>0</v>
      </c>
      <c r="AA66">
        <v>0</v>
      </c>
      <c r="AB66">
        <v>0</v>
      </c>
      <c r="AC66" t="s">
        <v>73</v>
      </c>
      <c r="AD66">
        <v>0</v>
      </c>
      <c r="AE66">
        <v>0</v>
      </c>
      <c r="AF66">
        <v>0</v>
      </c>
      <c r="AG66">
        <v>0</v>
      </c>
      <c r="AH66">
        <v>0</v>
      </c>
      <c r="AI66">
        <v>2</v>
      </c>
      <c r="AJ66">
        <v>1</v>
      </c>
      <c r="AK66" t="s">
        <v>73</v>
      </c>
      <c r="AL66" t="s">
        <v>73</v>
      </c>
      <c r="AM66" s="42" t="s">
        <v>226</v>
      </c>
      <c r="AN66" t="s">
        <v>227</v>
      </c>
      <c r="AO66" s="56">
        <v>46003.773634259262</v>
      </c>
      <c r="AP66" s="56">
        <v>46003.73196759259</v>
      </c>
      <c r="AQ66" t="s">
        <v>73</v>
      </c>
      <c r="AR66" t="s">
        <v>73</v>
      </c>
      <c r="AS66" t="s">
        <v>73</v>
      </c>
      <c r="AT66" t="s">
        <v>73</v>
      </c>
      <c r="AU66" t="s">
        <v>73</v>
      </c>
      <c r="AV66" t="s">
        <v>73</v>
      </c>
      <c r="AW66">
        <v>0</v>
      </c>
      <c r="AX66" t="s">
        <v>73</v>
      </c>
      <c r="AY66" t="s">
        <v>158</v>
      </c>
      <c r="AZ66" t="s">
        <v>158</v>
      </c>
      <c r="BA66" t="s">
        <v>158</v>
      </c>
      <c r="BB66"/>
      <c r="BC66"/>
    </row>
    <row r="67" spans="1:55" ht="16" x14ac:dyDescent="0.2">
      <c r="A67" t="s">
        <v>223</v>
      </c>
      <c r="B67" t="s">
        <v>203</v>
      </c>
      <c r="C67" t="s">
        <v>204</v>
      </c>
      <c r="D67" t="s">
        <v>73</v>
      </c>
      <c r="E67" t="s">
        <v>72</v>
      </c>
      <c r="F67" t="s">
        <v>72</v>
      </c>
      <c r="G67" t="s">
        <v>73</v>
      </c>
      <c r="Q67">
        <v>0</v>
      </c>
      <c r="R67">
        <v>0</v>
      </c>
      <c r="S67">
        <v>0</v>
      </c>
      <c r="T67">
        <v>0</v>
      </c>
      <c r="U67" t="s">
        <v>73</v>
      </c>
      <c r="V67">
        <v>0</v>
      </c>
      <c r="W67">
        <v>0</v>
      </c>
      <c r="X67">
        <v>0</v>
      </c>
      <c r="Y67">
        <v>0</v>
      </c>
      <c r="Z67">
        <v>0</v>
      </c>
      <c r="AA67">
        <v>0</v>
      </c>
      <c r="AB67">
        <v>0</v>
      </c>
      <c r="AC67" t="s">
        <v>73</v>
      </c>
      <c r="AD67">
        <v>0</v>
      </c>
      <c r="AE67">
        <v>0</v>
      </c>
      <c r="AF67">
        <v>0</v>
      </c>
      <c r="AG67">
        <v>0</v>
      </c>
      <c r="AH67">
        <v>0</v>
      </c>
      <c r="AI67">
        <v>15</v>
      </c>
      <c r="AJ67">
        <v>2</v>
      </c>
      <c r="AK67" t="s">
        <v>73</v>
      </c>
      <c r="AL67" t="s">
        <v>73</v>
      </c>
      <c r="AM67" s="42" t="s">
        <v>73</v>
      </c>
      <c r="AN67" t="s">
        <v>205</v>
      </c>
      <c r="AO67" s="56">
        <v>46001.816770833335</v>
      </c>
      <c r="AP67" s="56">
        <v>46002.760763888888</v>
      </c>
      <c r="AQ67" t="s">
        <v>73</v>
      </c>
      <c r="AR67" t="s">
        <v>73</v>
      </c>
      <c r="AS67" t="s">
        <v>73</v>
      </c>
      <c r="AT67" t="s">
        <v>73</v>
      </c>
      <c r="AU67" t="s">
        <v>73</v>
      </c>
      <c r="AV67" t="s">
        <v>73</v>
      </c>
      <c r="AW67">
        <v>0</v>
      </c>
      <c r="AX67" t="s">
        <v>73</v>
      </c>
      <c r="AY67" t="s">
        <v>158</v>
      </c>
      <c r="AZ67" t="s">
        <v>158</v>
      </c>
      <c r="BA67" t="s">
        <v>158</v>
      </c>
      <c r="BB67"/>
      <c r="BC67"/>
    </row>
    <row r="68" spans="1:55" ht="16" x14ac:dyDescent="0.2">
      <c r="A68" t="s">
        <v>223</v>
      </c>
      <c r="B68" t="s">
        <v>199</v>
      </c>
      <c r="C68" t="s">
        <v>200</v>
      </c>
      <c r="D68" t="s">
        <v>73</v>
      </c>
      <c r="E68" t="s">
        <v>72</v>
      </c>
      <c r="F68" t="s">
        <v>73</v>
      </c>
      <c r="G68" t="s">
        <v>73</v>
      </c>
      <c r="Q68">
        <v>0</v>
      </c>
      <c r="R68">
        <v>0</v>
      </c>
      <c r="S68">
        <v>0</v>
      </c>
      <c r="T68">
        <v>0</v>
      </c>
      <c r="U68" t="s">
        <v>73</v>
      </c>
      <c r="V68">
        <v>0</v>
      </c>
      <c r="W68">
        <v>0</v>
      </c>
      <c r="X68">
        <v>0</v>
      </c>
      <c r="Y68">
        <v>0</v>
      </c>
      <c r="Z68">
        <v>0</v>
      </c>
      <c r="AA68">
        <v>0</v>
      </c>
      <c r="AB68">
        <v>0</v>
      </c>
      <c r="AC68" t="s">
        <v>73</v>
      </c>
      <c r="AD68">
        <v>0</v>
      </c>
      <c r="AE68">
        <v>0</v>
      </c>
      <c r="AF68">
        <v>0</v>
      </c>
      <c r="AG68">
        <v>0</v>
      </c>
      <c r="AH68">
        <v>0</v>
      </c>
      <c r="AI68">
        <v>2</v>
      </c>
      <c r="AJ68">
        <v>0</v>
      </c>
      <c r="AK68" t="s">
        <v>73</v>
      </c>
      <c r="AL68" t="s">
        <v>73</v>
      </c>
      <c r="AM68" s="42" t="s">
        <v>73</v>
      </c>
      <c r="AN68" t="s">
        <v>202</v>
      </c>
      <c r="AO68" s="56">
        <v>46000.935324074075</v>
      </c>
      <c r="AP68" s="56">
        <v>46002.760567129626</v>
      </c>
      <c r="AQ68" t="s">
        <v>73</v>
      </c>
      <c r="AR68" t="s">
        <v>73</v>
      </c>
      <c r="AS68" t="s">
        <v>73</v>
      </c>
      <c r="AT68" t="s">
        <v>73</v>
      </c>
      <c r="AU68" t="s">
        <v>73</v>
      </c>
      <c r="AV68" t="s">
        <v>73</v>
      </c>
      <c r="AW68">
        <v>0</v>
      </c>
      <c r="AX68" t="s">
        <v>73</v>
      </c>
      <c r="AY68" t="s">
        <v>158</v>
      </c>
      <c r="AZ68" t="s">
        <v>158</v>
      </c>
      <c r="BA68" t="s">
        <v>158</v>
      </c>
      <c r="BB68"/>
      <c r="BC68"/>
    </row>
    <row r="69" spans="1:55" ht="16" x14ac:dyDescent="0.2">
      <c r="A69" t="s">
        <v>223</v>
      </c>
      <c r="B69" t="s">
        <v>192</v>
      </c>
      <c r="C69" t="s">
        <v>193</v>
      </c>
      <c r="D69" t="s">
        <v>73</v>
      </c>
      <c r="E69" t="s">
        <v>72</v>
      </c>
      <c r="F69" t="s">
        <v>72</v>
      </c>
      <c r="G69" t="s">
        <v>73</v>
      </c>
      <c r="Q69">
        <v>0</v>
      </c>
      <c r="R69">
        <v>0</v>
      </c>
      <c r="S69">
        <v>0</v>
      </c>
      <c r="T69">
        <v>0</v>
      </c>
      <c r="U69" t="s">
        <v>73</v>
      </c>
      <c r="V69">
        <v>0</v>
      </c>
      <c r="W69">
        <v>0</v>
      </c>
      <c r="X69">
        <v>0</v>
      </c>
      <c r="Y69">
        <v>0</v>
      </c>
      <c r="Z69">
        <v>0</v>
      </c>
      <c r="AA69">
        <v>0</v>
      </c>
      <c r="AB69">
        <v>0</v>
      </c>
      <c r="AC69" t="s">
        <v>73</v>
      </c>
      <c r="AD69">
        <v>0</v>
      </c>
      <c r="AE69">
        <v>0</v>
      </c>
      <c r="AF69">
        <v>0</v>
      </c>
      <c r="AG69">
        <v>0</v>
      </c>
      <c r="AH69">
        <v>0</v>
      </c>
      <c r="AI69">
        <v>20</v>
      </c>
      <c r="AJ69">
        <v>1</v>
      </c>
      <c r="AK69" t="s">
        <v>73</v>
      </c>
      <c r="AL69" t="s">
        <v>73</v>
      </c>
      <c r="AM69" s="42" t="s">
        <v>73</v>
      </c>
      <c r="AN69" t="s">
        <v>194</v>
      </c>
      <c r="AO69" s="56">
        <v>45999.857777777775</v>
      </c>
      <c r="AP69" s="56">
        <v>46002.760289351849</v>
      </c>
      <c r="AQ69" t="s">
        <v>73</v>
      </c>
      <c r="AR69" t="s">
        <v>73</v>
      </c>
      <c r="AS69" t="s">
        <v>73</v>
      </c>
      <c r="AT69" t="s">
        <v>73</v>
      </c>
      <c r="AU69" t="s">
        <v>73</v>
      </c>
      <c r="AV69" t="s">
        <v>73</v>
      </c>
      <c r="AW69">
        <v>0</v>
      </c>
      <c r="AX69" t="s">
        <v>73</v>
      </c>
      <c r="AY69" t="s">
        <v>158</v>
      </c>
      <c r="AZ69" t="s">
        <v>158</v>
      </c>
      <c r="BA69" t="s">
        <v>158</v>
      </c>
      <c r="BB69"/>
      <c r="BC69"/>
    </row>
    <row r="70" spans="1:55" ht="16" x14ac:dyDescent="0.2">
      <c r="A70" t="s">
        <v>185</v>
      </c>
      <c r="B70" t="s">
        <v>457</v>
      </c>
      <c r="C70" t="s">
        <v>458</v>
      </c>
      <c r="D70" t="s">
        <v>73</v>
      </c>
      <c r="E70" t="s">
        <v>72</v>
      </c>
      <c r="F70" t="s">
        <v>73</v>
      </c>
      <c r="G70" t="s">
        <v>73</v>
      </c>
      <c r="I70">
        <v>10</v>
      </c>
      <c r="J70">
        <v>4</v>
      </c>
      <c r="Q70">
        <v>1</v>
      </c>
      <c r="R70">
        <v>1</v>
      </c>
      <c r="S70">
        <v>0</v>
      </c>
      <c r="T70">
        <v>0</v>
      </c>
      <c r="U70" t="s">
        <v>73</v>
      </c>
      <c r="V70">
        <v>0</v>
      </c>
      <c r="W70">
        <v>0</v>
      </c>
      <c r="X70">
        <v>4</v>
      </c>
      <c r="Y70">
        <v>3</v>
      </c>
      <c r="Z70">
        <v>1</v>
      </c>
      <c r="AA70">
        <v>0</v>
      </c>
      <c r="AB70">
        <v>0</v>
      </c>
      <c r="AC70" t="s">
        <v>72</v>
      </c>
      <c r="AD70">
        <v>6</v>
      </c>
      <c r="AE70">
        <v>6</v>
      </c>
      <c r="AF70">
        <v>0</v>
      </c>
      <c r="AG70">
        <v>6</v>
      </c>
      <c r="AH70">
        <v>1</v>
      </c>
      <c r="AI70">
        <v>68</v>
      </c>
      <c r="AJ70">
        <v>12</v>
      </c>
      <c r="AK70" t="s">
        <v>72</v>
      </c>
      <c r="AL70" t="s">
        <v>73</v>
      </c>
      <c r="AM70" s="42" t="s">
        <v>73</v>
      </c>
      <c r="AN70" t="s">
        <v>460</v>
      </c>
      <c r="AO70" s="56">
        <v>46023.620659722219</v>
      </c>
      <c r="AP70" s="56">
        <v>46023.578993055555</v>
      </c>
      <c r="AQ70" t="s">
        <v>73</v>
      </c>
      <c r="AR70" t="s">
        <v>73</v>
      </c>
      <c r="AS70" t="s">
        <v>73</v>
      </c>
      <c r="AT70" t="s">
        <v>73</v>
      </c>
      <c r="AU70" t="s">
        <v>73</v>
      </c>
      <c r="AV70" t="s">
        <v>73</v>
      </c>
      <c r="AW70">
        <v>0</v>
      </c>
      <c r="AX70" t="s">
        <v>73</v>
      </c>
      <c r="AY70" t="s">
        <v>158</v>
      </c>
      <c r="AZ70" t="s">
        <v>158</v>
      </c>
      <c r="BA70" t="s">
        <v>158</v>
      </c>
      <c r="BB70"/>
      <c r="BC70"/>
    </row>
    <row r="71" spans="1:55" ht="48" x14ac:dyDescent="0.2">
      <c r="A71" t="s">
        <v>185</v>
      </c>
      <c r="B71" t="s">
        <v>436</v>
      </c>
      <c r="C71" t="s">
        <v>437</v>
      </c>
      <c r="D71" t="s">
        <v>73</v>
      </c>
      <c r="E71" t="s">
        <v>72</v>
      </c>
      <c r="F71" t="s">
        <v>72</v>
      </c>
      <c r="G71" t="s">
        <v>73</v>
      </c>
      <c r="I71">
        <v>10</v>
      </c>
      <c r="J71">
        <v>6</v>
      </c>
      <c r="N71">
        <v>3</v>
      </c>
      <c r="Q71">
        <v>0</v>
      </c>
      <c r="R71">
        <v>0</v>
      </c>
      <c r="S71">
        <v>0</v>
      </c>
      <c r="T71">
        <v>0</v>
      </c>
      <c r="U71" t="s">
        <v>73</v>
      </c>
      <c r="V71">
        <v>0</v>
      </c>
      <c r="W71">
        <v>0</v>
      </c>
      <c r="X71">
        <v>5</v>
      </c>
      <c r="Y71">
        <v>3</v>
      </c>
      <c r="Z71">
        <v>1</v>
      </c>
      <c r="AA71">
        <v>0</v>
      </c>
      <c r="AB71">
        <v>1</v>
      </c>
      <c r="AC71" t="s">
        <v>73</v>
      </c>
      <c r="AD71">
        <v>4</v>
      </c>
      <c r="AE71">
        <v>0</v>
      </c>
      <c r="AF71">
        <v>0</v>
      </c>
      <c r="AG71">
        <v>0</v>
      </c>
      <c r="AH71">
        <v>0</v>
      </c>
      <c r="AI71">
        <v>60</v>
      </c>
      <c r="AJ71">
        <v>20</v>
      </c>
      <c r="AK71" t="s">
        <v>72</v>
      </c>
      <c r="AL71" t="s">
        <v>73</v>
      </c>
      <c r="AM71" s="42" t="s">
        <v>451</v>
      </c>
      <c r="AN71" t="s">
        <v>452</v>
      </c>
      <c r="AO71" s="56">
        <v>46021.889675925922</v>
      </c>
      <c r="AP71" s="56">
        <v>46021.850231481483</v>
      </c>
      <c r="AQ71" t="s">
        <v>73</v>
      </c>
      <c r="AR71" t="s">
        <v>73</v>
      </c>
      <c r="AS71" t="s">
        <v>73</v>
      </c>
      <c r="AT71" t="s">
        <v>73</v>
      </c>
      <c r="AU71" t="s">
        <v>73</v>
      </c>
      <c r="AV71" t="s">
        <v>73</v>
      </c>
      <c r="AW71">
        <v>0</v>
      </c>
      <c r="AX71" t="s">
        <v>73</v>
      </c>
      <c r="AY71" t="s">
        <v>158</v>
      </c>
      <c r="AZ71" t="s">
        <v>158</v>
      </c>
      <c r="BA71" t="s">
        <v>158</v>
      </c>
      <c r="BB71"/>
      <c r="BC71"/>
    </row>
    <row r="72" spans="1:55" ht="128" x14ac:dyDescent="0.2">
      <c r="A72" t="s">
        <v>185</v>
      </c>
      <c r="B72" t="s">
        <v>430</v>
      </c>
      <c r="C72" t="s">
        <v>431</v>
      </c>
      <c r="D72" t="s">
        <v>73</v>
      </c>
      <c r="E72" t="s">
        <v>73</v>
      </c>
      <c r="F72" t="s">
        <v>72</v>
      </c>
      <c r="G72" t="s">
        <v>73</v>
      </c>
      <c r="Q72">
        <v>0</v>
      </c>
      <c r="R72">
        <v>0</v>
      </c>
      <c r="S72">
        <v>0</v>
      </c>
      <c r="T72">
        <v>0</v>
      </c>
      <c r="U72" t="s">
        <v>73</v>
      </c>
      <c r="V72">
        <v>0</v>
      </c>
      <c r="W72">
        <v>0</v>
      </c>
      <c r="X72">
        <v>0</v>
      </c>
      <c r="Y72">
        <v>0</v>
      </c>
      <c r="Z72">
        <v>0</v>
      </c>
      <c r="AA72">
        <v>0</v>
      </c>
      <c r="AB72">
        <v>0</v>
      </c>
      <c r="AC72" t="s">
        <v>73</v>
      </c>
      <c r="AD72">
        <v>0</v>
      </c>
      <c r="AE72">
        <v>0</v>
      </c>
      <c r="AF72">
        <v>0</v>
      </c>
      <c r="AG72">
        <v>0</v>
      </c>
      <c r="AH72">
        <v>0</v>
      </c>
      <c r="AI72">
        <v>3</v>
      </c>
      <c r="AJ72">
        <v>1</v>
      </c>
      <c r="AK72" t="s">
        <v>73</v>
      </c>
      <c r="AL72" t="s">
        <v>73</v>
      </c>
      <c r="AM72" s="42" t="s">
        <v>455</v>
      </c>
      <c r="AN72" t="s">
        <v>435</v>
      </c>
      <c r="AO72" s="56">
        <v>46021.509363425925</v>
      </c>
      <c r="AP72" s="56">
        <v>46023.429201388892</v>
      </c>
      <c r="AQ72" t="s">
        <v>73</v>
      </c>
      <c r="AR72" t="s">
        <v>73</v>
      </c>
      <c r="AS72" t="s">
        <v>73</v>
      </c>
      <c r="AT72" t="s">
        <v>73</v>
      </c>
      <c r="AU72" t="s">
        <v>73</v>
      </c>
      <c r="AV72" t="s">
        <v>73</v>
      </c>
      <c r="AW72">
        <v>0</v>
      </c>
      <c r="AX72" t="s">
        <v>73</v>
      </c>
      <c r="AY72" t="s">
        <v>158</v>
      </c>
      <c r="AZ72" t="s">
        <v>158</v>
      </c>
      <c r="BA72" t="s">
        <v>158</v>
      </c>
      <c r="BB72"/>
      <c r="BC72"/>
    </row>
    <row r="73" spans="1:55" ht="16" x14ac:dyDescent="0.2">
      <c r="A73" t="s">
        <v>185</v>
      </c>
      <c r="B73" t="s">
        <v>424</v>
      </c>
      <c r="C73" t="s">
        <v>425</v>
      </c>
      <c r="D73" t="s">
        <v>73</v>
      </c>
      <c r="E73" t="s">
        <v>72</v>
      </c>
      <c r="F73" t="s">
        <v>72</v>
      </c>
      <c r="G73" t="s">
        <v>73</v>
      </c>
      <c r="I73">
        <v>12</v>
      </c>
      <c r="J73">
        <v>4</v>
      </c>
      <c r="Q73">
        <v>0</v>
      </c>
      <c r="R73">
        <v>0</v>
      </c>
      <c r="S73">
        <v>0</v>
      </c>
      <c r="T73">
        <v>0</v>
      </c>
      <c r="U73" t="s">
        <v>73</v>
      </c>
      <c r="V73">
        <v>0</v>
      </c>
      <c r="W73">
        <v>0</v>
      </c>
      <c r="X73">
        <v>4</v>
      </c>
      <c r="Y73">
        <v>4</v>
      </c>
      <c r="Z73">
        <v>0</v>
      </c>
      <c r="AA73">
        <v>0</v>
      </c>
      <c r="AB73">
        <v>0</v>
      </c>
      <c r="AC73" t="s">
        <v>73</v>
      </c>
      <c r="AD73">
        <v>6</v>
      </c>
      <c r="AE73">
        <v>6</v>
      </c>
      <c r="AF73">
        <v>0</v>
      </c>
      <c r="AG73">
        <v>6</v>
      </c>
      <c r="AH73">
        <v>2</v>
      </c>
      <c r="AI73">
        <v>65</v>
      </c>
      <c r="AJ73">
        <v>14</v>
      </c>
      <c r="AK73" t="s">
        <v>72</v>
      </c>
      <c r="AL73" t="s">
        <v>73</v>
      </c>
      <c r="AM73" s="42" t="s">
        <v>73</v>
      </c>
      <c r="AN73" t="s">
        <v>427</v>
      </c>
      <c r="AO73" s="56">
        <v>46019.969571759262</v>
      </c>
      <c r="AP73" s="56">
        <v>46019.927905092591</v>
      </c>
      <c r="AQ73" t="s">
        <v>73</v>
      </c>
      <c r="AR73" t="s">
        <v>73</v>
      </c>
      <c r="AS73" t="s">
        <v>73</v>
      </c>
      <c r="AT73" t="s">
        <v>73</v>
      </c>
      <c r="AU73" t="s">
        <v>73</v>
      </c>
      <c r="AV73" t="s">
        <v>73</v>
      </c>
      <c r="AW73">
        <v>0</v>
      </c>
      <c r="AX73" t="s">
        <v>73</v>
      </c>
      <c r="AY73" t="s">
        <v>158</v>
      </c>
      <c r="AZ73" t="s">
        <v>158</v>
      </c>
      <c r="BA73" t="s">
        <v>158</v>
      </c>
      <c r="BB73"/>
      <c r="BC73"/>
    </row>
    <row r="74" spans="1:55" ht="32" x14ac:dyDescent="0.2">
      <c r="A74" t="s">
        <v>185</v>
      </c>
      <c r="B74" t="s">
        <v>413</v>
      </c>
      <c r="C74" t="s">
        <v>414</v>
      </c>
      <c r="D74" t="s">
        <v>73</v>
      </c>
      <c r="E74" t="s">
        <v>72</v>
      </c>
      <c r="F74" t="s">
        <v>73</v>
      </c>
      <c r="G74" t="s">
        <v>73</v>
      </c>
      <c r="I74">
        <v>8</v>
      </c>
      <c r="J74">
        <v>6</v>
      </c>
      <c r="L74">
        <v>8</v>
      </c>
      <c r="Q74">
        <v>0</v>
      </c>
      <c r="R74">
        <v>0</v>
      </c>
      <c r="S74">
        <v>0</v>
      </c>
      <c r="T74">
        <v>0</v>
      </c>
      <c r="U74" t="s">
        <v>73</v>
      </c>
      <c r="V74">
        <v>0</v>
      </c>
      <c r="W74">
        <v>0</v>
      </c>
      <c r="X74">
        <v>2</v>
      </c>
      <c r="Y74">
        <v>2</v>
      </c>
      <c r="Z74">
        <v>0</v>
      </c>
      <c r="AA74">
        <v>0</v>
      </c>
      <c r="AB74">
        <v>0</v>
      </c>
      <c r="AC74" t="s">
        <v>73</v>
      </c>
      <c r="AD74">
        <v>6</v>
      </c>
      <c r="AE74">
        <v>6</v>
      </c>
      <c r="AF74">
        <v>0</v>
      </c>
      <c r="AG74">
        <v>6</v>
      </c>
      <c r="AH74">
        <v>2</v>
      </c>
      <c r="AI74">
        <v>120</v>
      </c>
      <c r="AJ74">
        <v>14</v>
      </c>
      <c r="AK74" t="s">
        <v>72</v>
      </c>
      <c r="AL74" t="s">
        <v>72</v>
      </c>
      <c r="AM74" s="42" t="s">
        <v>415</v>
      </c>
      <c r="AN74" t="s">
        <v>417</v>
      </c>
      <c r="AO74" s="56">
        <v>46019.660578703704</v>
      </c>
      <c r="AP74" s="56">
        <v>46022.350983796299</v>
      </c>
      <c r="AQ74" t="s">
        <v>73</v>
      </c>
      <c r="AR74" t="s">
        <v>73</v>
      </c>
      <c r="AS74" t="s">
        <v>73</v>
      </c>
      <c r="AT74" t="s">
        <v>73</v>
      </c>
      <c r="AU74" t="s">
        <v>73</v>
      </c>
      <c r="AV74" t="s">
        <v>73</v>
      </c>
      <c r="AW74">
        <v>0</v>
      </c>
      <c r="AX74" t="s">
        <v>73</v>
      </c>
      <c r="AY74" t="s">
        <v>158</v>
      </c>
      <c r="AZ74" t="s">
        <v>158</v>
      </c>
      <c r="BA74" t="s">
        <v>158</v>
      </c>
      <c r="BB74"/>
      <c r="BC74"/>
    </row>
    <row r="75" spans="1:55" ht="16" x14ac:dyDescent="0.2">
      <c r="A75" t="s">
        <v>185</v>
      </c>
      <c r="B75" t="s">
        <v>399</v>
      </c>
      <c r="C75" t="s">
        <v>400</v>
      </c>
      <c r="D75" t="s">
        <v>73</v>
      </c>
      <c r="E75" t="s">
        <v>72</v>
      </c>
      <c r="F75" t="s">
        <v>72</v>
      </c>
      <c r="G75" t="s">
        <v>73</v>
      </c>
      <c r="I75">
        <v>8</v>
      </c>
      <c r="N75">
        <v>4</v>
      </c>
      <c r="Q75">
        <v>2</v>
      </c>
      <c r="R75">
        <v>2</v>
      </c>
      <c r="S75">
        <v>0</v>
      </c>
      <c r="T75">
        <v>0</v>
      </c>
      <c r="U75" t="s">
        <v>72</v>
      </c>
      <c r="V75">
        <v>0</v>
      </c>
      <c r="W75">
        <v>0</v>
      </c>
      <c r="X75">
        <v>3</v>
      </c>
      <c r="Y75">
        <v>3</v>
      </c>
      <c r="Z75">
        <v>0</v>
      </c>
      <c r="AA75">
        <v>0</v>
      </c>
      <c r="AB75">
        <v>0</v>
      </c>
      <c r="AC75" t="s">
        <v>73</v>
      </c>
      <c r="AD75">
        <v>6</v>
      </c>
      <c r="AE75">
        <v>6</v>
      </c>
      <c r="AF75">
        <v>0</v>
      </c>
      <c r="AG75">
        <v>6</v>
      </c>
      <c r="AH75">
        <v>1</v>
      </c>
      <c r="AI75">
        <v>65</v>
      </c>
      <c r="AJ75">
        <v>5</v>
      </c>
      <c r="AK75" t="s">
        <v>73</v>
      </c>
      <c r="AL75" t="s">
        <v>73</v>
      </c>
      <c r="AM75" s="42" t="s">
        <v>73</v>
      </c>
      <c r="AN75" t="s">
        <v>403</v>
      </c>
      <c r="AO75" s="56">
        <v>46018.570393518516</v>
      </c>
      <c r="AP75" s="56">
        <v>46018.528726851851</v>
      </c>
      <c r="AQ75" t="s">
        <v>400</v>
      </c>
      <c r="AR75" t="s">
        <v>78</v>
      </c>
      <c r="AS75" t="s">
        <v>179</v>
      </c>
      <c r="AT75" t="s">
        <v>219</v>
      </c>
      <c r="AU75" t="s">
        <v>402</v>
      </c>
      <c r="AV75" t="s">
        <v>402</v>
      </c>
      <c r="AW75">
        <v>35</v>
      </c>
      <c r="AX75" t="s">
        <v>73</v>
      </c>
      <c r="AY75" t="s">
        <v>158</v>
      </c>
      <c r="AZ75" t="s">
        <v>158</v>
      </c>
      <c r="BA75" t="s">
        <v>158</v>
      </c>
      <c r="BB75"/>
      <c r="BC75"/>
    </row>
    <row r="76" spans="1:55" ht="16" x14ac:dyDescent="0.2">
      <c r="A76" t="s">
        <v>185</v>
      </c>
      <c r="B76" t="s">
        <v>389</v>
      </c>
      <c r="C76" t="s">
        <v>390</v>
      </c>
      <c r="D76" t="s">
        <v>73</v>
      </c>
      <c r="E76" t="s">
        <v>72</v>
      </c>
      <c r="F76" t="s">
        <v>72</v>
      </c>
      <c r="G76" t="s">
        <v>72</v>
      </c>
      <c r="H76" t="s">
        <v>72</v>
      </c>
      <c r="I76">
        <v>13</v>
      </c>
      <c r="J76">
        <v>8</v>
      </c>
      <c r="L76">
        <v>6</v>
      </c>
      <c r="N76">
        <v>9</v>
      </c>
      <c r="Q76">
        <v>0</v>
      </c>
      <c r="R76">
        <v>0</v>
      </c>
      <c r="S76">
        <v>0</v>
      </c>
      <c r="T76">
        <v>0</v>
      </c>
      <c r="U76" t="s">
        <v>73</v>
      </c>
      <c r="V76">
        <v>5</v>
      </c>
      <c r="W76">
        <v>21</v>
      </c>
      <c r="X76">
        <v>14</v>
      </c>
      <c r="Y76">
        <v>7</v>
      </c>
      <c r="Z76">
        <v>6</v>
      </c>
      <c r="AA76">
        <v>0</v>
      </c>
      <c r="AB76">
        <v>1</v>
      </c>
      <c r="AC76" t="s">
        <v>73</v>
      </c>
      <c r="AD76">
        <v>5</v>
      </c>
      <c r="AE76">
        <v>5</v>
      </c>
      <c r="AF76">
        <v>5</v>
      </c>
      <c r="AG76">
        <v>5</v>
      </c>
      <c r="AH76">
        <v>0</v>
      </c>
      <c r="AI76">
        <v>120</v>
      </c>
      <c r="AJ76">
        <v>34</v>
      </c>
      <c r="AK76" t="s">
        <v>73</v>
      </c>
      <c r="AL76" t="s">
        <v>73</v>
      </c>
      <c r="AM76" s="42" t="s">
        <v>73</v>
      </c>
      <c r="AN76" t="s">
        <v>397</v>
      </c>
      <c r="AO76" s="56">
        <v>46017.704988425925</v>
      </c>
      <c r="AP76" s="56">
        <v>46044.746400462966</v>
      </c>
      <c r="AQ76" t="s">
        <v>73</v>
      </c>
      <c r="AR76" t="s">
        <v>73</v>
      </c>
      <c r="AS76" t="s">
        <v>73</v>
      </c>
      <c r="AT76" t="s">
        <v>73</v>
      </c>
      <c r="AU76" t="s">
        <v>73</v>
      </c>
      <c r="AV76" t="s">
        <v>73</v>
      </c>
      <c r="AW76">
        <v>0</v>
      </c>
      <c r="AX76" t="s">
        <v>75</v>
      </c>
      <c r="AY76" t="s">
        <v>392</v>
      </c>
      <c r="AZ76" t="s">
        <v>214</v>
      </c>
      <c r="BA76" t="s">
        <v>393</v>
      </c>
      <c r="BB76"/>
      <c r="BC76"/>
    </row>
    <row r="77" spans="1:55" ht="16" x14ac:dyDescent="0.2">
      <c r="A77" t="s">
        <v>185</v>
      </c>
      <c r="B77" t="s">
        <v>386</v>
      </c>
      <c r="C77" t="s">
        <v>387</v>
      </c>
      <c r="D77" t="s">
        <v>73</v>
      </c>
      <c r="E77" t="s">
        <v>72</v>
      </c>
      <c r="F77" t="s">
        <v>72</v>
      </c>
      <c r="G77" t="s">
        <v>73</v>
      </c>
      <c r="I77">
        <v>12</v>
      </c>
      <c r="N77">
        <v>4</v>
      </c>
      <c r="Q77">
        <v>2</v>
      </c>
      <c r="R77">
        <v>2</v>
      </c>
      <c r="S77">
        <v>0</v>
      </c>
      <c r="T77">
        <v>0</v>
      </c>
      <c r="U77" t="s">
        <v>73</v>
      </c>
      <c r="V77">
        <v>0</v>
      </c>
      <c r="W77">
        <v>0</v>
      </c>
      <c r="X77">
        <v>3</v>
      </c>
      <c r="Y77">
        <v>3</v>
      </c>
      <c r="Z77">
        <v>0</v>
      </c>
      <c r="AA77">
        <v>0</v>
      </c>
      <c r="AB77">
        <v>0</v>
      </c>
      <c r="AC77" t="s">
        <v>73</v>
      </c>
      <c r="AD77">
        <v>6</v>
      </c>
      <c r="AE77">
        <v>4</v>
      </c>
      <c r="AF77">
        <v>0</v>
      </c>
      <c r="AG77">
        <v>0</v>
      </c>
      <c r="AH77">
        <v>2</v>
      </c>
      <c r="AI77">
        <v>50</v>
      </c>
      <c r="AJ77">
        <v>8</v>
      </c>
      <c r="AK77" t="s">
        <v>72</v>
      </c>
      <c r="AL77" t="s">
        <v>73</v>
      </c>
      <c r="AM77" s="42" t="s">
        <v>73</v>
      </c>
      <c r="AN77" t="s">
        <v>398</v>
      </c>
      <c r="AO77" s="56">
        <v>46017.580243055556</v>
      </c>
      <c r="AP77" s="56">
        <v>46017.538576388892</v>
      </c>
      <c r="AQ77" t="s">
        <v>73</v>
      </c>
      <c r="AR77" t="s">
        <v>73</v>
      </c>
      <c r="AS77" t="s">
        <v>73</v>
      </c>
      <c r="AT77" t="s">
        <v>73</v>
      </c>
      <c r="AU77" t="s">
        <v>73</v>
      </c>
      <c r="AV77" t="s">
        <v>73</v>
      </c>
      <c r="AW77">
        <v>0</v>
      </c>
      <c r="AX77" t="s">
        <v>73</v>
      </c>
      <c r="AY77" t="s">
        <v>158</v>
      </c>
      <c r="AZ77" t="s">
        <v>158</v>
      </c>
      <c r="BA77" t="s">
        <v>158</v>
      </c>
      <c r="BB77"/>
      <c r="BC77"/>
    </row>
    <row r="78" spans="1:55" ht="16" x14ac:dyDescent="0.2">
      <c r="A78" t="s">
        <v>185</v>
      </c>
      <c r="B78" t="s">
        <v>206</v>
      </c>
      <c r="C78" t="s">
        <v>207</v>
      </c>
      <c r="D78" t="s">
        <v>73</v>
      </c>
      <c r="E78" t="s">
        <v>72</v>
      </c>
      <c r="F78" t="s">
        <v>72</v>
      </c>
      <c r="G78" t="s">
        <v>73</v>
      </c>
      <c r="H78" t="s">
        <v>72</v>
      </c>
      <c r="I78">
        <v>7</v>
      </c>
      <c r="J78">
        <v>3</v>
      </c>
      <c r="Q78">
        <v>1</v>
      </c>
      <c r="R78">
        <v>1</v>
      </c>
      <c r="S78">
        <v>0</v>
      </c>
      <c r="T78">
        <v>0</v>
      </c>
      <c r="U78" t="s">
        <v>73</v>
      </c>
      <c r="V78">
        <v>7</v>
      </c>
      <c r="W78">
        <v>10</v>
      </c>
      <c r="X78">
        <v>0</v>
      </c>
      <c r="Y78">
        <v>0</v>
      </c>
      <c r="Z78">
        <v>0</v>
      </c>
      <c r="AA78">
        <v>0</v>
      </c>
      <c r="AB78">
        <v>0</v>
      </c>
      <c r="AC78" t="s">
        <v>73</v>
      </c>
      <c r="AD78">
        <v>6</v>
      </c>
      <c r="AE78">
        <v>6</v>
      </c>
      <c r="AF78">
        <v>0</v>
      </c>
      <c r="AG78">
        <v>6</v>
      </c>
      <c r="AH78">
        <v>3</v>
      </c>
      <c r="AI78">
        <v>45</v>
      </c>
      <c r="AJ78">
        <v>15</v>
      </c>
      <c r="AK78" t="s">
        <v>73</v>
      </c>
      <c r="AL78" t="s">
        <v>73</v>
      </c>
      <c r="AM78" s="42" t="s">
        <v>73</v>
      </c>
      <c r="AN78" t="s">
        <v>384</v>
      </c>
      <c r="AO78" s="56">
        <v>46014.910451388889</v>
      </c>
      <c r="AP78" s="56">
        <v>46014.868784722225</v>
      </c>
      <c r="AQ78" t="s">
        <v>73</v>
      </c>
      <c r="AR78" t="s">
        <v>73</v>
      </c>
      <c r="AS78" t="s">
        <v>73</v>
      </c>
      <c r="AT78" t="s">
        <v>73</v>
      </c>
      <c r="AU78" t="s">
        <v>73</v>
      </c>
      <c r="AV78" t="s">
        <v>73</v>
      </c>
      <c r="AW78">
        <v>0</v>
      </c>
      <c r="AX78" t="s">
        <v>75</v>
      </c>
      <c r="AY78" t="s">
        <v>373</v>
      </c>
      <c r="AZ78" t="s">
        <v>374</v>
      </c>
      <c r="BA78" t="s">
        <v>375</v>
      </c>
      <c r="BB78"/>
      <c r="BC78"/>
    </row>
    <row r="79" spans="1:55" ht="16" x14ac:dyDescent="0.2">
      <c r="A79" t="s">
        <v>185</v>
      </c>
      <c r="B79" t="s">
        <v>379</v>
      </c>
      <c r="C79" t="s">
        <v>380</v>
      </c>
      <c r="D79" t="s">
        <v>73</v>
      </c>
      <c r="E79" t="s">
        <v>72</v>
      </c>
      <c r="F79" t="s">
        <v>72</v>
      </c>
      <c r="G79" t="s">
        <v>73</v>
      </c>
      <c r="I79">
        <v>5</v>
      </c>
      <c r="Q79">
        <v>0</v>
      </c>
      <c r="R79">
        <v>0</v>
      </c>
      <c r="S79">
        <v>0</v>
      </c>
      <c r="T79">
        <v>0</v>
      </c>
      <c r="U79" t="s">
        <v>72</v>
      </c>
      <c r="V79">
        <v>0</v>
      </c>
      <c r="W79">
        <v>0</v>
      </c>
      <c r="X79">
        <v>0</v>
      </c>
      <c r="Y79">
        <v>0</v>
      </c>
      <c r="Z79">
        <v>0</v>
      </c>
      <c r="AA79">
        <v>0</v>
      </c>
      <c r="AB79">
        <v>0</v>
      </c>
      <c r="AC79" t="s">
        <v>73</v>
      </c>
      <c r="AD79">
        <v>6</v>
      </c>
      <c r="AE79">
        <v>6</v>
      </c>
      <c r="AF79">
        <v>0</v>
      </c>
      <c r="AG79">
        <v>6</v>
      </c>
      <c r="AH79">
        <v>1</v>
      </c>
      <c r="AI79">
        <v>50</v>
      </c>
      <c r="AJ79">
        <v>3</v>
      </c>
      <c r="AK79" t="s">
        <v>73</v>
      </c>
      <c r="AL79" t="s">
        <v>73</v>
      </c>
      <c r="AM79" s="42" t="s">
        <v>73</v>
      </c>
      <c r="AN79" t="s">
        <v>385</v>
      </c>
      <c r="AO79" s="56">
        <v>46014.807118055556</v>
      </c>
      <c r="AP79" s="56">
        <v>46014.765451388892</v>
      </c>
      <c r="AQ79" t="s">
        <v>380</v>
      </c>
      <c r="AR79" t="s">
        <v>78</v>
      </c>
      <c r="AS79" t="s">
        <v>76</v>
      </c>
      <c r="AT79" t="s">
        <v>77</v>
      </c>
      <c r="AU79" t="s">
        <v>382</v>
      </c>
      <c r="AV79" t="s">
        <v>383</v>
      </c>
      <c r="AW79">
        <v>35</v>
      </c>
      <c r="AX79" t="s">
        <v>73</v>
      </c>
      <c r="AY79" t="s">
        <v>158</v>
      </c>
      <c r="AZ79" t="s">
        <v>158</v>
      </c>
      <c r="BA79" t="s">
        <v>158</v>
      </c>
      <c r="BB79"/>
      <c r="BC79"/>
    </row>
    <row r="80" spans="1:55" ht="16" x14ac:dyDescent="0.2">
      <c r="A80" t="s">
        <v>185</v>
      </c>
      <c r="B80" t="s">
        <v>362</v>
      </c>
      <c r="C80" t="s">
        <v>363</v>
      </c>
      <c r="D80" t="s">
        <v>73</v>
      </c>
      <c r="E80" t="s">
        <v>73</v>
      </c>
      <c r="F80" t="s">
        <v>72</v>
      </c>
      <c r="G80" t="s">
        <v>73</v>
      </c>
      <c r="Q80">
        <v>0</v>
      </c>
      <c r="R80">
        <v>0</v>
      </c>
      <c r="S80">
        <v>0</v>
      </c>
      <c r="T80">
        <v>0</v>
      </c>
      <c r="U80" t="s">
        <v>73</v>
      </c>
      <c r="V80">
        <v>0</v>
      </c>
      <c r="W80">
        <v>0</v>
      </c>
      <c r="X80">
        <v>0</v>
      </c>
      <c r="Y80">
        <v>0</v>
      </c>
      <c r="Z80">
        <v>0</v>
      </c>
      <c r="AA80">
        <v>0</v>
      </c>
      <c r="AB80">
        <v>0</v>
      </c>
      <c r="AC80" t="s">
        <v>73</v>
      </c>
      <c r="AD80">
        <v>0</v>
      </c>
      <c r="AE80">
        <v>0</v>
      </c>
      <c r="AF80">
        <v>0</v>
      </c>
      <c r="AG80">
        <v>0</v>
      </c>
      <c r="AH80">
        <v>0</v>
      </c>
      <c r="AI80">
        <v>20</v>
      </c>
      <c r="AJ80">
        <v>2</v>
      </c>
      <c r="AK80" t="s">
        <v>72</v>
      </c>
      <c r="AL80" t="s">
        <v>73</v>
      </c>
      <c r="AM80" s="42" t="s">
        <v>73</v>
      </c>
      <c r="AN80" t="s">
        <v>365</v>
      </c>
      <c r="AO80" s="56">
        <v>46013.911365740743</v>
      </c>
      <c r="AP80" s="56">
        <v>46013.869699074072</v>
      </c>
      <c r="AQ80" t="s">
        <v>73</v>
      </c>
      <c r="AR80" t="s">
        <v>73</v>
      </c>
      <c r="AS80" t="s">
        <v>73</v>
      </c>
      <c r="AT80" t="s">
        <v>73</v>
      </c>
      <c r="AU80" t="s">
        <v>73</v>
      </c>
      <c r="AV80" t="s">
        <v>73</v>
      </c>
      <c r="AW80">
        <v>0</v>
      </c>
      <c r="AX80" t="s">
        <v>73</v>
      </c>
      <c r="AY80" t="s">
        <v>158</v>
      </c>
      <c r="AZ80" t="s">
        <v>158</v>
      </c>
      <c r="BA80" t="s">
        <v>158</v>
      </c>
      <c r="BB80"/>
      <c r="BC80"/>
    </row>
    <row r="81" spans="1:55" ht="32" x14ac:dyDescent="0.2">
      <c r="A81" t="s">
        <v>185</v>
      </c>
      <c r="B81" t="s">
        <v>330</v>
      </c>
      <c r="C81" t="s">
        <v>331</v>
      </c>
      <c r="D81" t="s">
        <v>73</v>
      </c>
      <c r="E81" t="s">
        <v>72</v>
      </c>
      <c r="F81" t="s">
        <v>73</v>
      </c>
      <c r="G81" t="s">
        <v>72</v>
      </c>
      <c r="H81" t="s">
        <v>72</v>
      </c>
      <c r="I81">
        <v>4</v>
      </c>
      <c r="Q81">
        <v>0</v>
      </c>
      <c r="R81">
        <v>0</v>
      </c>
      <c r="S81">
        <v>0</v>
      </c>
      <c r="T81">
        <v>0</v>
      </c>
      <c r="U81" t="s">
        <v>73</v>
      </c>
      <c r="V81">
        <v>6</v>
      </c>
      <c r="W81">
        <v>15</v>
      </c>
      <c r="X81">
        <v>2</v>
      </c>
      <c r="Y81">
        <v>1</v>
      </c>
      <c r="Z81">
        <v>0</v>
      </c>
      <c r="AA81">
        <v>0</v>
      </c>
      <c r="AB81">
        <v>1</v>
      </c>
      <c r="AC81" t="s">
        <v>73</v>
      </c>
      <c r="AD81">
        <v>3</v>
      </c>
      <c r="AE81">
        <v>0</v>
      </c>
      <c r="AF81">
        <v>0</v>
      </c>
      <c r="AG81">
        <v>0</v>
      </c>
      <c r="AH81">
        <v>0</v>
      </c>
      <c r="AI81">
        <v>50</v>
      </c>
      <c r="AJ81">
        <v>10</v>
      </c>
      <c r="AK81" t="s">
        <v>73</v>
      </c>
      <c r="AL81" t="s">
        <v>73</v>
      </c>
      <c r="AM81" s="42" t="s">
        <v>429</v>
      </c>
      <c r="AN81" t="s">
        <v>346</v>
      </c>
      <c r="AO81" s="56">
        <v>46013.674212962964</v>
      </c>
      <c r="AP81" s="56">
        <v>46020.812604166669</v>
      </c>
      <c r="AQ81" t="s">
        <v>73</v>
      </c>
      <c r="AR81" t="s">
        <v>73</v>
      </c>
      <c r="AS81" t="s">
        <v>73</v>
      </c>
      <c r="AT81" t="s">
        <v>73</v>
      </c>
      <c r="AU81" t="s">
        <v>73</v>
      </c>
      <c r="AV81" t="s">
        <v>73</v>
      </c>
      <c r="AW81">
        <v>0</v>
      </c>
      <c r="AX81" t="s">
        <v>75</v>
      </c>
      <c r="AY81" t="s">
        <v>333</v>
      </c>
      <c r="AZ81" t="s">
        <v>334</v>
      </c>
      <c r="BA81" t="s">
        <v>335</v>
      </c>
      <c r="BB81"/>
      <c r="BC81"/>
    </row>
    <row r="82" spans="1:55" ht="16" x14ac:dyDescent="0.2">
      <c r="A82" t="s">
        <v>185</v>
      </c>
      <c r="B82" t="s">
        <v>343</v>
      </c>
      <c r="C82" t="s">
        <v>344</v>
      </c>
      <c r="D82" t="s">
        <v>72</v>
      </c>
      <c r="E82" t="s">
        <v>73</v>
      </c>
      <c r="F82" t="s">
        <v>72</v>
      </c>
      <c r="G82" t="s">
        <v>73</v>
      </c>
      <c r="I82">
        <v>11</v>
      </c>
      <c r="J82">
        <v>4</v>
      </c>
      <c r="L82">
        <v>9</v>
      </c>
      <c r="N82">
        <v>11</v>
      </c>
      <c r="O82">
        <v>4</v>
      </c>
      <c r="Q82">
        <v>5</v>
      </c>
      <c r="R82">
        <v>0</v>
      </c>
      <c r="S82">
        <v>4</v>
      </c>
      <c r="T82">
        <v>1</v>
      </c>
      <c r="U82" t="s">
        <v>73</v>
      </c>
      <c r="V82">
        <v>0</v>
      </c>
      <c r="W82">
        <v>0</v>
      </c>
      <c r="X82">
        <v>3</v>
      </c>
      <c r="Y82">
        <v>3</v>
      </c>
      <c r="Z82">
        <v>0</v>
      </c>
      <c r="AA82">
        <v>0</v>
      </c>
      <c r="AB82">
        <v>0</v>
      </c>
      <c r="AC82" t="s">
        <v>72</v>
      </c>
      <c r="AD82">
        <v>6</v>
      </c>
      <c r="AE82">
        <v>6</v>
      </c>
      <c r="AF82">
        <v>2</v>
      </c>
      <c r="AG82">
        <v>0</v>
      </c>
      <c r="AH82">
        <v>2</v>
      </c>
      <c r="AI82">
        <v>125</v>
      </c>
      <c r="AJ82">
        <v>20</v>
      </c>
      <c r="AK82" t="s">
        <v>72</v>
      </c>
      <c r="AL82" t="s">
        <v>72</v>
      </c>
      <c r="AM82" s="42" t="s">
        <v>73</v>
      </c>
      <c r="AN82" t="s">
        <v>347</v>
      </c>
      <c r="AO82" s="56">
        <v>46013.482916666668</v>
      </c>
      <c r="AP82" s="56">
        <v>46044.746724537035</v>
      </c>
      <c r="AQ82" t="s">
        <v>73</v>
      </c>
      <c r="AR82" t="s">
        <v>73</v>
      </c>
      <c r="AS82" t="s">
        <v>73</v>
      </c>
      <c r="AT82" t="s">
        <v>73</v>
      </c>
      <c r="AU82" t="s">
        <v>73</v>
      </c>
      <c r="AV82" t="s">
        <v>73</v>
      </c>
      <c r="AW82">
        <v>0</v>
      </c>
      <c r="AX82" t="s">
        <v>73</v>
      </c>
      <c r="AY82" t="s">
        <v>158</v>
      </c>
      <c r="AZ82" t="s">
        <v>158</v>
      </c>
      <c r="BA82" t="s">
        <v>158</v>
      </c>
      <c r="BB82"/>
      <c r="BC82"/>
    </row>
    <row r="83" spans="1:55" ht="16" x14ac:dyDescent="0.2">
      <c r="A83" t="s">
        <v>185</v>
      </c>
      <c r="B83" t="s">
        <v>339</v>
      </c>
      <c r="C83" t="s">
        <v>340</v>
      </c>
      <c r="D83" t="s">
        <v>73</v>
      </c>
      <c r="E83" t="s">
        <v>72</v>
      </c>
      <c r="F83" t="s">
        <v>72</v>
      </c>
      <c r="G83" t="s">
        <v>73</v>
      </c>
      <c r="I83">
        <v>6</v>
      </c>
      <c r="N83">
        <v>4</v>
      </c>
      <c r="Q83">
        <v>4</v>
      </c>
      <c r="R83">
        <v>3</v>
      </c>
      <c r="S83">
        <v>1</v>
      </c>
      <c r="T83">
        <v>0</v>
      </c>
      <c r="U83" t="s">
        <v>72</v>
      </c>
      <c r="V83">
        <v>0</v>
      </c>
      <c r="W83">
        <v>0</v>
      </c>
      <c r="X83">
        <v>0</v>
      </c>
      <c r="Y83">
        <v>0</v>
      </c>
      <c r="Z83">
        <v>0</v>
      </c>
      <c r="AA83">
        <v>0</v>
      </c>
      <c r="AB83">
        <v>0</v>
      </c>
      <c r="AC83" t="s">
        <v>72</v>
      </c>
      <c r="AD83">
        <v>0</v>
      </c>
      <c r="AE83">
        <v>0</v>
      </c>
      <c r="AF83">
        <v>0</v>
      </c>
      <c r="AG83">
        <v>0</v>
      </c>
      <c r="AH83">
        <v>0</v>
      </c>
      <c r="AI83">
        <v>35</v>
      </c>
      <c r="AJ83">
        <v>4</v>
      </c>
      <c r="AK83" t="s">
        <v>73</v>
      </c>
      <c r="AL83" t="s">
        <v>73</v>
      </c>
      <c r="AM83" s="42" t="s">
        <v>73</v>
      </c>
      <c r="AN83" t="s">
        <v>348</v>
      </c>
      <c r="AO83" s="56">
        <v>46013.476944444446</v>
      </c>
      <c r="AP83" s="56">
        <v>46013.435277777775</v>
      </c>
      <c r="AQ83" t="s">
        <v>340</v>
      </c>
      <c r="AR83" t="s">
        <v>349</v>
      </c>
      <c r="AS83" t="s">
        <v>76</v>
      </c>
      <c r="AT83" t="s">
        <v>350</v>
      </c>
      <c r="AU83" t="s">
        <v>351</v>
      </c>
      <c r="AV83" t="s">
        <v>352</v>
      </c>
      <c r="AW83">
        <v>20</v>
      </c>
      <c r="AX83" t="s">
        <v>73</v>
      </c>
      <c r="AY83" t="s">
        <v>158</v>
      </c>
      <c r="AZ83" t="s">
        <v>158</v>
      </c>
      <c r="BA83" t="s">
        <v>158</v>
      </c>
      <c r="BB83"/>
      <c r="BC83"/>
    </row>
    <row r="84" spans="1:55" ht="32" x14ac:dyDescent="0.2">
      <c r="A84" t="s">
        <v>185</v>
      </c>
      <c r="B84" t="s">
        <v>322</v>
      </c>
      <c r="C84" t="s">
        <v>323</v>
      </c>
      <c r="D84" t="s">
        <v>73</v>
      </c>
      <c r="E84" t="s">
        <v>72</v>
      </c>
      <c r="F84" t="s">
        <v>72</v>
      </c>
      <c r="G84" t="s">
        <v>73</v>
      </c>
      <c r="I84">
        <v>6</v>
      </c>
      <c r="Q84">
        <v>3</v>
      </c>
      <c r="R84">
        <v>2</v>
      </c>
      <c r="S84">
        <v>1</v>
      </c>
      <c r="T84">
        <v>0</v>
      </c>
      <c r="U84" t="s">
        <v>72</v>
      </c>
      <c r="V84">
        <v>0</v>
      </c>
      <c r="W84">
        <v>0</v>
      </c>
      <c r="X84">
        <v>0</v>
      </c>
      <c r="Y84">
        <v>0</v>
      </c>
      <c r="Z84">
        <v>0</v>
      </c>
      <c r="AA84">
        <v>0</v>
      </c>
      <c r="AB84">
        <v>0</v>
      </c>
      <c r="AC84" t="s">
        <v>72</v>
      </c>
      <c r="AD84">
        <v>6</v>
      </c>
      <c r="AE84">
        <v>6</v>
      </c>
      <c r="AF84">
        <v>0</v>
      </c>
      <c r="AG84">
        <v>6</v>
      </c>
      <c r="AH84">
        <v>0</v>
      </c>
      <c r="AI84">
        <v>55</v>
      </c>
      <c r="AJ84">
        <v>1</v>
      </c>
      <c r="AK84" t="s">
        <v>73</v>
      </c>
      <c r="AL84" t="s">
        <v>73</v>
      </c>
      <c r="AM84" s="42" t="s">
        <v>324</v>
      </c>
      <c r="AN84" t="s">
        <v>329</v>
      </c>
      <c r="AO84" s="56">
        <v>46011.819953703707</v>
      </c>
      <c r="AP84" s="56">
        <v>46011.778287037036</v>
      </c>
      <c r="AQ84" t="s">
        <v>323</v>
      </c>
      <c r="AR84" t="s">
        <v>78</v>
      </c>
      <c r="AS84" t="s">
        <v>179</v>
      </c>
      <c r="AT84" t="s">
        <v>77</v>
      </c>
      <c r="AU84" t="s">
        <v>326</v>
      </c>
      <c r="AV84" t="s">
        <v>327</v>
      </c>
      <c r="AW84">
        <v>35</v>
      </c>
      <c r="AX84" t="s">
        <v>73</v>
      </c>
      <c r="AY84" t="s">
        <v>158</v>
      </c>
      <c r="AZ84" t="s">
        <v>158</v>
      </c>
      <c r="BA84" t="s">
        <v>158</v>
      </c>
      <c r="BB84"/>
      <c r="BC84"/>
    </row>
    <row r="85" spans="1:55" ht="16" x14ac:dyDescent="0.2">
      <c r="A85" t="s">
        <v>185</v>
      </c>
      <c r="B85" t="s">
        <v>316</v>
      </c>
      <c r="C85" t="s">
        <v>317</v>
      </c>
      <c r="D85" t="s">
        <v>73</v>
      </c>
      <c r="E85" t="s">
        <v>72</v>
      </c>
      <c r="F85" t="s">
        <v>73</v>
      </c>
      <c r="G85" t="s">
        <v>73</v>
      </c>
      <c r="I85">
        <v>9</v>
      </c>
      <c r="J85">
        <v>9</v>
      </c>
      <c r="L85">
        <v>5</v>
      </c>
      <c r="Q85">
        <v>0</v>
      </c>
      <c r="R85">
        <v>0</v>
      </c>
      <c r="S85">
        <v>0</v>
      </c>
      <c r="T85">
        <v>0</v>
      </c>
      <c r="U85" t="s">
        <v>73</v>
      </c>
      <c r="V85">
        <v>0</v>
      </c>
      <c r="W85">
        <v>0</v>
      </c>
      <c r="X85">
        <v>0</v>
      </c>
      <c r="Y85">
        <v>0</v>
      </c>
      <c r="Z85">
        <v>0</v>
      </c>
      <c r="AA85">
        <v>0</v>
      </c>
      <c r="AB85">
        <v>0</v>
      </c>
      <c r="AC85" t="s">
        <v>73</v>
      </c>
      <c r="AD85">
        <v>6</v>
      </c>
      <c r="AE85">
        <v>6</v>
      </c>
      <c r="AF85">
        <v>0</v>
      </c>
      <c r="AG85">
        <v>6</v>
      </c>
      <c r="AH85">
        <v>2</v>
      </c>
      <c r="AI85">
        <v>75</v>
      </c>
      <c r="AJ85">
        <v>20</v>
      </c>
      <c r="AK85" t="s">
        <v>73</v>
      </c>
      <c r="AL85" t="s">
        <v>72</v>
      </c>
      <c r="AM85" s="42" t="s">
        <v>73</v>
      </c>
      <c r="AN85" t="s">
        <v>320</v>
      </c>
      <c r="AO85" s="56">
        <v>46011.599976851852</v>
      </c>
      <c r="AP85" s="56">
        <v>46011.558310185188</v>
      </c>
      <c r="AQ85" t="s">
        <v>73</v>
      </c>
      <c r="AR85" t="s">
        <v>73</v>
      </c>
      <c r="AS85" t="s">
        <v>73</v>
      </c>
      <c r="AT85" t="s">
        <v>73</v>
      </c>
      <c r="AU85" t="s">
        <v>73</v>
      </c>
      <c r="AV85" t="s">
        <v>73</v>
      </c>
      <c r="AW85">
        <v>0</v>
      </c>
      <c r="AX85" t="s">
        <v>73</v>
      </c>
      <c r="AY85" t="s">
        <v>158</v>
      </c>
      <c r="AZ85" t="s">
        <v>158</v>
      </c>
      <c r="BA85" t="s">
        <v>158</v>
      </c>
      <c r="BB85"/>
      <c r="BC85"/>
    </row>
    <row r="86" spans="1:55" ht="16" x14ac:dyDescent="0.2">
      <c r="A86" t="s">
        <v>185</v>
      </c>
      <c r="B86" t="s">
        <v>302</v>
      </c>
      <c r="C86" t="s">
        <v>303</v>
      </c>
      <c r="D86" t="s">
        <v>73</v>
      </c>
      <c r="E86" t="s">
        <v>72</v>
      </c>
      <c r="F86" t="s">
        <v>72</v>
      </c>
      <c r="G86" t="s">
        <v>73</v>
      </c>
      <c r="I86">
        <v>10</v>
      </c>
      <c r="Q86">
        <v>0</v>
      </c>
      <c r="R86">
        <v>0</v>
      </c>
      <c r="S86">
        <v>0</v>
      </c>
      <c r="T86">
        <v>0</v>
      </c>
      <c r="U86" t="s">
        <v>73</v>
      </c>
      <c r="V86">
        <v>0</v>
      </c>
      <c r="W86">
        <v>0</v>
      </c>
      <c r="X86">
        <v>5</v>
      </c>
      <c r="Y86">
        <v>5</v>
      </c>
      <c r="Z86">
        <v>0</v>
      </c>
      <c r="AA86">
        <v>0</v>
      </c>
      <c r="AB86">
        <v>0</v>
      </c>
      <c r="AC86" t="s">
        <v>72</v>
      </c>
      <c r="AD86">
        <v>4</v>
      </c>
      <c r="AE86">
        <v>0</v>
      </c>
      <c r="AF86">
        <v>0</v>
      </c>
      <c r="AG86">
        <v>0</v>
      </c>
      <c r="AH86">
        <v>0</v>
      </c>
      <c r="AI86">
        <v>65</v>
      </c>
      <c r="AJ86">
        <v>2</v>
      </c>
      <c r="AK86" t="s">
        <v>72</v>
      </c>
      <c r="AL86" t="s">
        <v>73</v>
      </c>
      <c r="AM86" s="42" t="s">
        <v>73</v>
      </c>
      <c r="AN86" t="s">
        <v>321</v>
      </c>
      <c r="AO86" s="56">
        <v>46011.050937499997</v>
      </c>
      <c r="AP86" s="56">
        <v>46044.747060185182</v>
      </c>
      <c r="AQ86" t="s">
        <v>73</v>
      </c>
      <c r="AR86" t="s">
        <v>73</v>
      </c>
      <c r="AS86" t="s">
        <v>73</v>
      </c>
      <c r="AT86" t="s">
        <v>73</v>
      </c>
      <c r="AU86" t="s">
        <v>73</v>
      </c>
      <c r="AV86" t="s">
        <v>73</v>
      </c>
      <c r="AW86">
        <v>0</v>
      </c>
      <c r="AX86" t="s">
        <v>73</v>
      </c>
      <c r="AY86" t="s">
        <v>158</v>
      </c>
      <c r="AZ86" t="s">
        <v>158</v>
      </c>
      <c r="BA86" t="s">
        <v>158</v>
      </c>
      <c r="BB86"/>
      <c r="BC86"/>
    </row>
    <row r="87" spans="1:55" ht="16" x14ac:dyDescent="0.2">
      <c r="A87" t="s">
        <v>185</v>
      </c>
      <c r="B87" t="s">
        <v>297</v>
      </c>
      <c r="C87" t="s">
        <v>298</v>
      </c>
      <c r="D87" t="s">
        <v>73</v>
      </c>
      <c r="E87" t="s">
        <v>72</v>
      </c>
      <c r="F87" t="s">
        <v>72</v>
      </c>
      <c r="G87" t="s">
        <v>73</v>
      </c>
      <c r="I87">
        <v>5</v>
      </c>
      <c r="L87">
        <v>1</v>
      </c>
      <c r="Q87">
        <v>0</v>
      </c>
      <c r="R87">
        <v>0</v>
      </c>
      <c r="S87">
        <v>0</v>
      </c>
      <c r="T87">
        <v>0</v>
      </c>
      <c r="U87" t="s">
        <v>73</v>
      </c>
      <c r="V87">
        <v>0</v>
      </c>
      <c r="W87">
        <v>0</v>
      </c>
      <c r="X87">
        <v>0</v>
      </c>
      <c r="Y87">
        <v>0</v>
      </c>
      <c r="Z87">
        <v>0</v>
      </c>
      <c r="AA87">
        <v>0</v>
      </c>
      <c r="AB87">
        <v>0</v>
      </c>
      <c r="AC87" t="s">
        <v>73</v>
      </c>
      <c r="AD87">
        <v>6</v>
      </c>
      <c r="AE87">
        <v>6</v>
      </c>
      <c r="AF87">
        <v>6</v>
      </c>
      <c r="AG87">
        <v>6</v>
      </c>
      <c r="AH87">
        <v>0</v>
      </c>
      <c r="AI87">
        <v>70</v>
      </c>
      <c r="AJ87">
        <v>10</v>
      </c>
      <c r="AK87" t="s">
        <v>73</v>
      </c>
      <c r="AL87" t="s">
        <v>73</v>
      </c>
      <c r="AM87" s="42" t="s">
        <v>73</v>
      </c>
      <c r="AN87" t="s">
        <v>299</v>
      </c>
      <c r="AO87" s="56">
        <v>46008.493437500001</v>
      </c>
      <c r="AP87" s="56">
        <v>46008.451770833337</v>
      </c>
      <c r="AQ87" t="s">
        <v>73</v>
      </c>
      <c r="AR87" t="s">
        <v>73</v>
      </c>
      <c r="AS87" t="s">
        <v>73</v>
      </c>
      <c r="AT87" t="s">
        <v>73</v>
      </c>
      <c r="AU87" t="s">
        <v>73</v>
      </c>
      <c r="AV87" t="s">
        <v>73</v>
      </c>
      <c r="AW87">
        <v>0</v>
      </c>
      <c r="AX87" t="s">
        <v>73</v>
      </c>
      <c r="AY87" t="s">
        <v>158</v>
      </c>
      <c r="AZ87" t="s">
        <v>158</v>
      </c>
      <c r="BA87" t="s">
        <v>158</v>
      </c>
      <c r="BB87"/>
      <c r="BC87"/>
    </row>
    <row r="88" spans="1:55" ht="16" x14ac:dyDescent="0.2">
      <c r="A88" t="s">
        <v>185</v>
      </c>
      <c r="B88" t="s">
        <v>294</v>
      </c>
      <c r="C88" t="s">
        <v>295</v>
      </c>
      <c r="D88" t="s">
        <v>73</v>
      </c>
      <c r="E88" t="s">
        <v>72</v>
      </c>
      <c r="F88" t="s">
        <v>72</v>
      </c>
      <c r="G88" t="s">
        <v>73</v>
      </c>
      <c r="I88">
        <v>5</v>
      </c>
      <c r="Q88">
        <v>0</v>
      </c>
      <c r="R88">
        <v>0</v>
      </c>
      <c r="S88">
        <v>0</v>
      </c>
      <c r="T88">
        <v>0</v>
      </c>
      <c r="U88" t="s">
        <v>73</v>
      </c>
      <c r="V88">
        <v>0</v>
      </c>
      <c r="W88">
        <v>0</v>
      </c>
      <c r="X88">
        <v>0</v>
      </c>
      <c r="Y88">
        <v>0</v>
      </c>
      <c r="Z88">
        <v>0</v>
      </c>
      <c r="AA88">
        <v>0</v>
      </c>
      <c r="AB88">
        <v>0</v>
      </c>
      <c r="AC88" t="s">
        <v>73</v>
      </c>
      <c r="AD88">
        <v>0</v>
      </c>
      <c r="AE88">
        <v>0</v>
      </c>
      <c r="AF88">
        <v>0</v>
      </c>
      <c r="AG88">
        <v>0</v>
      </c>
      <c r="AH88">
        <v>0</v>
      </c>
      <c r="AI88">
        <v>25</v>
      </c>
      <c r="AJ88">
        <v>10</v>
      </c>
      <c r="AK88" t="s">
        <v>73</v>
      </c>
      <c r="AL88" t="s">
        <v>73</v>
      </c>
      <c r="AM88" s="42" t="s">
        <v>300</v>
      </c>
      <c r="AN88" t="s">
        <v>301</v>
      </c>
      <c r="AO88" s="56">
        <v>46007.962175925924</v>
      </c>
      <c r="AP88" s="56">
        <v>46007.92050925926</v>
      </c>
      <c r="AQ88" t="s">
        <v>73</v>
      </c>
      <c r="AR88" t="s">
        <v>73</v>
      </c>
      <c r="AS88" t="s">
        <v>73</v>
      </c>
      <c r="AT88" t="s">
        <v>73</v>
      </c>
      <c r="AU88" t="s">
        <v>73</v>
      </c>
      <c r="AV88" t="s">
        <v>73</v>
      </c>
      <c r="AW88">
        <v>0</v>
      </c>
      <c r="AX88" t="s">
        <v>73</v>
      </c>
      <c r="AY88" t="s">
        <v>158</v>
      </c>
      <c r="AZ88" t="s">
        <v>158</v>
      </c>
      <c r="BA88" t="s">
        <v>158</v>
      </c>
      <c r="BB88"/>
      <c r="BC88"/>
    </row>
    <row r="89" spans="1:55" ht="16" x14ac:dyDescent="0.2">
      <c r="A89" t="s">
        <v>185</v>
      </c>
      <c r="B89" t="s">
        <v>260</v>
      </c>
      <c r="C89" t="s">
        <v>281</v>
      </c>
      <c r="D89" t="s">
        <v>73</v>
      </c>
      <c r="E89" t="s">
        <v>72</v>
      </c>
      <c r="F89" t="s">
        <v>72</v>
      </c>
      <c r="G89" t="s">
        <v>73</v>
      </c>
      <c r="H89" t="s">
        <v>72</v>
      </c>
      <c r="I89">
        <v>5</v>
      </c>
      <c r="J89">
        <v>6</v>
      </c>
      <c r="Q89">
        <v>0</v>
      </c>
      <c r="R89">
        <v>0</v>
      </c>
      <c r="S89">
        <v>0</v>
      </c>
      <c r="T89">
        <v>0</v>
      </c>
      <c r="U89" t="s">
        <v>73</v>
      </c>
      <c r="V89">
        <v>3</v>
      </c>
      <c r="W89">
        <v>18</v>
      </c>
      <c r="X89">
        <v>3</v>
      </c>
      <c r="Y89">
        <v>3</v>
      </c>
      <c r="Z89">
        <v>0</v>
      </c>
      <c r="AA89">
        <v>0</v>
      </c>
      <c r="AB89">
        <v>0</v>
      </c>
      <c r="AC89" t="s">
        <v>72</v>
      </c>
      <c r="AD89">
        <v>6</v>
      </c>
      <c r="AE89">
        <v>6</v>
      </c>
      <c r="AF89">
        <v>0</v>
      </c>
      <c r="AG89">
        <v>0</v>
      </c>
      <c r="AH89">
        <v>1</v>
      </c>
      <c r="AI89">
        <v>120</v>
      </c>
      <c r="AJ89">
        <v>30</v>
      </c>
      <c r="AK89" t="s">
        <v>72</v>
      </c>
      <c r="AL89" t="s">
        <v>73</v>
      </c>
      <c r="AM89" s="42" t="s">
        <v>73</v>
      </c>
      <c r="AN89" t="s">
        <v>282</v>
      </c>
      <c r="AO89" s="56">
        <v>46006.750601851854</v>
      </c>
      <c r="AP89" s="56">
        <v>46006.720810185187</v>
      </c>
      <c r="AQ89" t="s">
        <v>73</v>
      </c>
      <c r="AR89" t="s">
        <v>73</v>
      </c>
      <c r="AS89" t="s">
        <v>73</v>
      </c>
      <c r="AT89" t="s">
        <v>73</v>
      </c>
      <c r="AU89" t="s">
        <v>73</v>
      </c>
      <c r="AV89" t="s">
        <v>73</v>
      </c>
      <c r="AW89">
        <v>0</v>
      </c>
      <c r="AX89" t="s">
        <v>75</v>
      </c>
      <c r="AY89" t="s">
        <v>263</v>
      </c>
      <c r="AZ89" t="s">
        <v>264</v>
      </c>
      <c r="BA89" t="s">
        <v>265</v>
      </c>
      <c r="BB89"/>
      <c r="BC89"/>
    </row>
    <row r="90" spans="1:55" ht="16" x14ac:dyDescent="0.2">
      <c r="A90" t="s">
        <v>185</v>
      </c>
      <c r="B90" t="s">
        <v>274</v>
      </c>
      <c r="C90" t="s">
        <v>275</v>
      </c>
      <c r="D90" t="s">
        <v>73</v>
      </c>
      <c r="E90" t="s">
        <v>73</v>
      </c>
      <c r="F90" t="s">
        <v>72</v>
      </c>
      <c r="G90" t="s">
        <v>73</v>
      </c>
      <c r="Q90">
        <v>0</v>
      </c>
      <c r="R90">
        <v>0</v>
      </c>
      <c r="S90">
        <v>0</v>
      </c>
      <c r="T90">
        <v>0</v>
      </c>
      <c r="U90" t="s">
        <v>73</v>
      </c>
      <c r="V90">
        <v>0</v>
      </c>
      <c r="W90">
        <v>0</v>
      </c>
      <c r="X90">
        <v>0</v>
      </c>
      <c r="Y90">
        <v>0</v>
      </c>
      <c r="Z90">
        <v>0</v>
      </c>
      <c r="AA90">
        <v>0</v>
      </c>
      <c r="AB90">
        <v>0</v>
      </c>
      <c r="AC90" t="s">
        <v>73</v>
      </c>
      <c r="AD90">
        <v>6</v>
      </c>
      <c r="AE90">
        <v>0</v>
      </c>
      <c r="AF90">
        <v>0</v>
      </c>
      <c r="AG90">
        <v>6</v>
      </c>
      <c r="AH90">
        <v>0</v>
      </c>
      <c r="AI90">
        <v>16</v>
      </c>
      <c r="AJ90">
        <v>1</v>
      </c>
      <c r="AK90" t="s">
        <v>73</v>
      </c>
      <c r="AL90" t="s">
        <v>73</v>
      </c>
      <c r="AM90" s="42" t="s">
        <v>283</v>
      </c>
      <c r="AN90" t="s">
        <v>284</v>
      </c>
      <c r="AO90" s="56">
        <v>46006.744270833333</v>
      </c>
      <c r="AP90" s="56">
        <v>46006.702604166669</v>
      </c>
      <c r="AQ90" t="s">
        <v>73</v>
      </c>
      <c r="AR90" t="s">
        <v>73</v>
      </c>
      <c r="AS90" t="s">
        <v>73</v>
      </c>
      <c r="AT90" t="s">
        <v>73</v>
      </c>
      <c r="AU90" t="s">
        <v>73</v>
      </c>
      <c r="AV90" t="s">
        <v>73</v>
      </c>
      <c r="AW90">
        <v>0</v>
      </c>
      <c r="AX90" t="s">
        <v>73</v>
      </c>
      <c r="AY90" t="s">
        <v>158</v>
      </c>
      <c r="AZ90" t="s">
        <v>158</v>
      </c>
      <c r="BA90" t="s">
        <v>158</v>
      </c>
      <c r="BB90"/>
      <c r="BC90"/>
    </row>
    <row r="91" spans="1:55" ht="16" x14ac:dyDescent="0.2">
      <c r="A91" t="s">
        <v>185</v>
      </c>
      <c r="B91" t="s">
        <v>271</v>
      </c>
      <c r="C91" t="s">
        <v>272</v>
      </c>
      <c r="D91" t="s">
        <v>73</v>
      </c>
      <c r="E91" t="s">
        <v>72</v>
      </c>
      <c r="F91" t="s">
        <v>73</v>
      </c>
      <c r="G91" t="s">
        <v>73</v>
      </c>
      <c r="I91">
        <v>5</v>
      </c>
      <c r="J91">
        <v>5</v>
      </c>
      <c r="Q91">
        <v>0</v>
      </c>
      <c r="R91">
        <v>0</v>
      </c>
      <c r="S91">
        <v>0</v>
      </c>
      <c r="T91">
        <v>0</v>
      </c>
      <c r="U91" t="s">
        <v>73</v>
      </c>
      <c r="V91">
        <v>0</v>
      </c>
      <c r="W91">
        <v>0</v>
      </c>
      <c r="X91">
        <v>7</v>
      </c>
      <c r="Y91">
        <v>5</v>
      </c>
      <c r="Z91">
        <v>1</v>
      </c>
      <c r="AA91">
        <v>1</v>
      </c>
      <c r="AB91">
        <v>0</v>
      </c>
      <c r="AC91" t="s">
        <v>73</v>
      </c>
      <c r="AD91">
        <v>3</v>
      </c>
      <c r="AE91">
        <v>3</v>
      </c>
      <c r="AF91">
        <v>0</v>
      </c>
      <c r="AG91">
        <v>3</v>
      </c>
      <c r="AH91">
        <v>0</v>
      </c>
      <c r="AI91">
        <v>45</v>
      </c>
      <c r="AJ91">
        <v>10</v>
      </c>
      <c r="AK91" t="s">
        <v>73</v>
      </c>
      <c r="AL91" t="s">
        <v>73</v>
      </c>
      <c r="AM91" s="42" t="s">
        <v>73</v>
      </c>
      <c r="AN91" t="s">
        <v>285</v>
      </c>
      <c r="AO91" s="56">
        <v>46006.606979166667</v>
      </c>
      <c r="AP91" s="56">
        <v>46006.565312500003</v>
      </c>
      <c r="AQ91" t="s">
        <v>73</v>
      </c>
      <c r="AR91" t="s">
        <v>73</v>
      </c>
      <c r="AS91" t="s">
        <v>73</v>
      </c>
      <c r="AT91" t="s">
        <v>73</v>
      </c>
      <c r="AU91" t="s">
        <v>73</v>
      </c>
      <c r="AV91" t="s">
        <v>73</v>
      </c>
      <c r="AW91">
        <v>0</v>
      </c>
      <c r="AX91" t="s">
        <v>73</v>
      </c>
      <c r="AY91" t="s">
        <v>158</v>
      </c>
      <c r="AZ91" t="s">
        <v>158</v>
      </c>
      <c r="BA91" t="s">
        <v>158</v>
      </c>
      <c r="BB91"/>
      <c r="BC91"/>
    </row>
    <row r="92" spans="1:55" ht="16" x14ac:dyDescent="0.2">
      <c r="A92" t="s">
        <v>185</v>
      </c>
      <c r="B92" t="s">
        <v>278</v>
      </c>
      <c r="C92" t="s">
        <v>279</v>
      </c>
      <c r="D92" t="s">
        <v>73</v>
      </c>
      <c r="E92" t="s">
        <v>72</v>
      </c>
      <c r="F92" t="s">
        <v>72</v>
      </c>
      <c r="G92" t="s">
        <v>73</v>
      </c>
      <c r="I92">
        <v>6</v>
      </c>
      <c r="J92">
        <v>2</v>
      </c>
      <c r="Q92">
        <v>1</v>
      </c>
      <c r="R92">
        <v>0</v>
      </c>
      <c r="S92">
        <v>1</v>
      </c>
      <c r="T92">
        <v>0</v>
      </c>
      <c r="U92" t="s">
        <v>72</v>
      </c>
      <c r="V92">
        <v>0</v>
      </c>
      <c r="W92">
        <v>0</v>
      </c>
      <c r="X92">
        <v>0</v>
      </c>
      <c r="Y92">
        <v>0</v>
      </c>
      <c r="Z92">
        <v>0</v>
      </c>
      <c r="AA92">
        <v>0</v>
      </c>
      <c r="AB92">
        <v>0</v>
      </c>
      <c r="AC92" t="s">
        <v>73</v>
      </c>
      <c r="AD92">
        <v>0</v>
      </c>
      <c r="AE92">
        <v>0</v>
      </c>
      <c r="AF92">
        <v>0</v>
      </c>
      <c r="AG92">
        <v>6</v>
      </c>
      <c r="AH92">
        <v>0</v>
      </c>
      <c r="AI92">
        <v>25</v>
      </c>
      <c r="AJ92">
        <v>2</v>
      </c>
      <c r="AK92" t="s">
        <v>73</v>
      </c>
      <c r="AL92" t="s">
        <v>73</v>
      </c>
      <c r="AM92" s="42" t="s">
        <v>73</v>
      </c>
      <c r="AN92" t="s">
        <v>286</v>
      </c>
      <c r="AO92" s="56">
        <v>46006.476782407408</v>
      </c>
      <c r="AP92" s="56">
        <v>46008.365856481483</v>
      </c>
      <c r="AQ92" t="s">
        <v>279</v>
      </c>
      <c r="AR92" t="s">
        <v>287</v>
      </c>
      <c r="AS92" t="s">
        <v>76</v>
      </c>
      <c r="AT92" t="s">
        <v>288</v>
      </c>
      <c r="AU92" t="s">
        <v>289</v>
      </c>
      <c r="AV92" t="s">
        <v>289</v>
      </c>
      <c r="AW92">
        <v>7</v>
      </c>
      <c r="AX92" t="s">
        <v>73</v>
      </c>
      <c r="AY92" t="s">
        <v>158</v>
      </c>
      <c r="AZ92" t="s">
        <v>158</v>
      </c>
      <c r="BA92" t="s">
        <v>158</v>
      </c>
      <c r="BB92"/>
      <c r="BC92"/>
    </row>
    <row r="93" spans="1:55" ht="16" x14ac:dyDescent="0.2">
      <c r="A93" t="s">
        <v>185</v>
      </c>
      <c r="B93" t="s">
        <v>266</v>
      </c>
      <c r="C93" t="s">
        <v>267</v>
      </c>
      <c r="D93" t="s">
        <v>73</v>
      </c>
      <c r="E93" t="s">
        <v>72</v>
      </c>
      <c r="F93" t="s">
        <v>72</v>
      </c>
      <c r="G93" t="s">
        <v>73</v>
      </c>
      <c r="I93">
        <v>4</v>
      </c>
      <c r="N93">
        <v>4</v>
      </c>
      <c r="Q93">
        <v>0</v>
      </c>
      <c r="R93">
        <v>0</v>
      </c>
      <c r="S93">
        <v>0</v>
      </c>
      <c r="T93">
        <v>0</v>
      </c>
      <c r="U93" t="s">
        <v>73</v>
      </c>
      <c r="V93">
        <v>0</v>
      </c>
      <c r="W93">
        <v>0</v>
      </c>
      <c r="X93">
        <v>2</v>
      </c>
      <c r="Y93">
        <v>2</v>
      </c>
      <c r="Z93">
        <v>0</v>
      </c>
      <c r="AA93">
        <v>0</v>
      </c>
      <c r="AB93">
        <v>0</v>
      </c>
      <c r="AC93" t="s">
        <v>73</v>
      </c>
      <c r="AD93">
        <v>6</v>
      </c>
      <c r="AE93">
        <v>6</v>
      </c>
      <c r="AF93">
        <v>0</v>
      </c>
      <c r="AG93">
        <v>6</v>
      </c>
      <c r="AH93">
        <v>0</v>
      </c>
      <c r="AI93">
        <v>25</v>
      </c>
      <c r="AJ93">
        <v>0</v>
      </c>
      <c r="AK93" t="s">
        <v>73</v>
      </c>
      <c r="AL93" t="s">
        <v>73</v>
      </c>
      <c r="AM93" s="42" t="s">
        <v>73</v>
      </c>
      <c r="AN93" t="s">
        <v>290</v>
      </c>
      <c r="AO93" s="56">
        <v>46005.923032407409</v>
      </c>
      <c r="AP93" s="56">
        <v>46005.881365740737</v>
      </c>
      <c r="AQ93" t="s">
        <v>73</v>
      </c>
      <c r="AR93" t="s">
        <v>73</v>
      </c>
      <c r="AS93" t="s">
        <v>73</v>
      </c>
      <c r="AT93" t="s">
        <v>73</v>
      </c>
      <c r="AU93" t="s">
        <v>73</v>
      </c>
      <c r="AV93" t="s">
        <v>73</v>
      </c>
      <c r="AW93">
        <v>0</v>
      </c>
      <c r="AX93" t="s">
        <v>73</v>
      </c>
      <c r="AY93" t="s">
        <v>158</v>
      </c>
      <c r="AZ93" t="s">
        <v>158</v>
      </c>
      <c r="BA93" t="s">
        <v>158</v>
      </c>
      <c r="BB93"/>
      <c r="BC93"/>
    </row>
    <row r="94" spans="1:55" ht="16" x14ac:dyDescent="0.2">
      <c r="A94" t="s">
        <v>185</v>
      </c>
      <c r="B94" t="s">
        <v>248</v>
      </c>
      <c r="C94" t="s">
        <v>249</v>
      </c>
      <c r="D94" t="s">
        <v>73</v>
      </c>
      <c r="E94" t="s">
        <v>72</v>
      </c>
      <c r="F94" t="s">
        <v>72</v>
      </c>
      <c r="G94" t="s">
        <v>73</v>
      </c>
      <c r="L94">
        <v>7</v>
      </c>
      <c r="Q94">
        <v>7</v>
      </c>
      <c r="R94">
        <v>0</v>
      </c>
      <c r="S94">
        <v>1</v>
      </c>
      <c r="T94">
        <v>6</v>
      </c>
      <c r="U94" t="s">
        <v>72</v>
      </c>
      <c r="V94">
        <v>0</v>
      </c>
      <c r="W94">
        <v>0</v>
      </c>
      <c r="X94">
        <v>0</v>
      </c>
      <c r="Y94">
        <v>0</v>
      </c>
      <c r="Z94">
        <v>0</v>
      </c>
      <c r="AA94">
        <v>0</v>
      </c>
      <c r="AB94">
        <v>0</v>
      </c>
      <c r="AC94" t="s">
        <v>73</v>
      </c>
      <c r="AD94">
        <v>0</v>
      </c>
      <c r="AE94">
        <v>0</v>
      </c>
      <c r="AF94">
        <v>0</v>
      </c>
      <c r="AG94">
        <v>0</v>
      </c>
      <c r="AH94">
        <v>4</v>
      </c>
      <c r="AI94">
        <v>46</v>
      </c>
      <c r="AJ94">
        <v>46</v>
      </c>
      <c r="AK94" t="s">
        <v>73</v>
      </c>
      <c r="AL94" t="s">
        <v>73</v>
      </c>
      <c r="AM94" s="42" t="s">
        <v>73</v>
      </c>
      <c r="AN94" t="s">
        <v>258</v>
      </c>
      <c r="AO94" s="56">
        <v>46005.578136574077</v>
      </c>
      <c r="AP94" s="56">
        <v>46005.536469907405</v>
      </c>
      <c r="AQ94" t="s">
        <v>249</v>
      </c>
      <c r="AR94" t="s">
        <v>78</v>
      </c>
      <c r="AS94" t="s">
        <v>254</v>
      </c>
      <c r="AT94" t="s">
        <v>219</v>
      </c>
      <c r="AU94" t="s">
        <v>255</v>
      </c>
      <c r="AV94" t="s">
        <v>255</v>
      </c>
      <c r="AW94">
        <v>27</v>
      </c>
      <c r="AX94" t="s">
        <v>73</v>
      </c>
      <c r="AY94" t="s">
        <v>158</v>
      </c>
      <c r="AZ94" t="s">
        <v>158</v>
      </c>
      <c r="BA94" t="s">
        <v>158</v>
      </c>
      <c r="BB94"/>
      <c r="BC94"/>
    </row>
    <row r="95" spans="1:55" ht="16" x14ac:dyDescent="0.2">
      <c r="A95" t="s">
        <v>185</v>
      </c>
      <c r="B95" t="s">
        <v>251</v>
      </c>
      <c r="C95" t="s">
        <v>252</v>
      </c>
      <c r="D95" t="s">
        <v>73</v>
      </c>
      <c r="E95" t="s">
        <v>72</v>
      </c>
      <c r="F95" t="s">
        <v>73</v>
      </c>
      <c r="G95" t="s">
        <v>73</v>
      </c>
      <c r="I95">
        <v>8</v>
      </c>
      <c r="Q95">
        <v>1</v>
      </c>
      <c r="R95">
        <v>1</v>
      </c>
      <c r="S95">
        <v>0</v>
      </c>
      <c r="T95">
        <v>0</v>
      </c>
      <c r="U95" t="s">
        <v>72</v>
      </c>
      <c r="V95">
        <v>0</v>
      </c>
      <c r="W95">
        <v>0</v>
      </c>
      <c r="X95">
        <v>0</v>
      </c>
      <c r="Y95">
        <v>0</v>
      </c>
      <c r="Z95">
        <v>0</v>
      </c>
      <c r="AA95">
        <v>0</v>
      </c>
      <c r="AB95">
        <v>0</v>
      </c>
      <c r="AC95" t="s">
        <v>72</v>
      </c>
      <c r="AD95">
        <v>6</v>
      </c>
      <c r="AE95">
        <v>6</v>
      </c>
      <c r="AF95">
        <v>0</v>
      </c>
      <c r="AG95">
        <v>6</v>
      </c>
      <c r="AH95">
        <v>0</v>
      </c>
      <c r="AI95">
        <v>90</v>
      </c>
      <c r="AJ95">
        <v>0</v>
      </c>
      <c r="AK95" t="s">
        <v>73</v>
      </c>
      <c r="AL95" t="s">
        <v>73</v>
      </c>
      <c r="AM95" s="42" t="s">
        <v>73</v>
      </c>
      <c r="AN95" t="s">
        <v>259</v>
      </c>
      <c r="AO95" s="56">
        <v>46005.561099537037</v>
      </c>
      <c r="AP95" s="56">
        <v>46005.519432870373</v>
      </c>
      <c r="AQ95" t="s">
        <v>256</v>
      </c>
      <c r="AR95" t="s">
        <v>78</v>
      </c>
      <c r="AS95" t="s">
        <v>254</v>
      </c>
      <c r="AT95" t="s">
        <v>219</v>
      </c>
      <c r="AU95" t="s">
        <v>257</v>
      </c>
      <c r="AV95" t="s">
        <v>257</v>
      </c>
      <c r="AW95">
        <v>58</v>
      </c>
      <c r="AX95" t="s">
        <v>73</v>
      </c>
      <c r="AY95" t="s">
        <v>158</v>
      </c>
      <c r="AZ95" t="s">
        <v>158</v>
      </c>
      <c r="BA95" t="s">
        <v>158</v>
      </c>
      <c r="BB95"/>
      <c r="BC95"/>
    </row>
    <row r="96" spans="1:55" ht="16" x14ac:dyDescent="0.2">
      <c r="A96" t="s">
        <v>185</v>
      </c>
      <c r="B96" t="s">
        <v>203</v>
      </c>
      <c r="C96" t="s">
        <v>204</v>
      </c>
      <c r="D96" t="s">
        <v>73</v>
      </c>
      <c r="E96" t="s">
        <v>72</v>
      </c>
      <c r="F96" t="s">
        <v>72</v>
      </c>
      <c r="G96" t="s">
        <v>72</v>
      </c>
      <c r="H96" t="s">
        <v>72</v>
      </c>
      <c r="Q96">
        <v>0</v>
      </c>
      <c r="R96">
        <v>0</v>
      </c>
      <c r="S96">
        <v>0</v>
      </c>
      <c r="T96">
        <v>0</v>
      </c>
      <c r="U96" t="s">
        <v>73</v>
      </c>
      <c r="V96">
        <v>3</v>
      </c>
      <c r="W96">
        <v>14</v>
      </c>
      <c r="X96">
        <v>6</v>
      </c>
      <c r="Y96">
        <v>6</v>
      </c>
      <c r="Z96">
        <v>0</v>
      </c>
      <c r="AA96">
        <v>0</v>
      </c>
      <c r="AB96">
        <v>0</v>
      </c>
      <c r="AC96" t="s">
        <v>72</v>
      </c>
      <c r="AD96">
        <v>6</v>
      </c>
      <c r="AE96">
        <v>6</v>
      </c>
      <c r="AF96">
        <v>0</v>
      </c>
      <c r="AG96">
        <v>6</v>
      </c>
      <c r="AH96">
        <v>1</v>
      </c>
      <c r="AI96">
        <v>70</v>
      </c>
      <c r="AJ96">
        <v>10</v>
      </c>
      <c r="AK96" t="s">
        <v>73</v>
      </c>
      <c r="AL96" t="s">
        <v>73</v>
      </c>
      <c r="AM96" s="42" t="s">
        <v>73</v>
      </c>
      <c r="AN96" t="s">
        <v>247</v>
      </c>
      <c r="AO96" s="56">
        <v>46004.61959490741</v>
      </c>
      <c r="AP96" s="56">
        <v>46004.577928240738</v>
      </c>
      <c r="AQ96" t="s">
        <v>73</v>
      </c>
      <c r="AR96" t="s">
        <v>73</v>
      </c>
      <c r="AS96" t="s">
        <v>73</v>
      </c>
      <c r="AT96" t="s">
        <v>73</v>
      </c>
      <c r="AU96" t="s">
        <v>73</v>
      </c>
      <c r="AV96" t="s">
        <v>73</v>
      </c>
      <c r="AW96">
        <v>0</v>
      </c>
      <c r="AX96" t="s">
        <v>75</v>
      </c>
      <c r="AY96" t="s">
        <v>244</v>
      </c>
      <c r="AZ96" t="s">
        <v>245</v>
      </c>
      <c r="BA96" t="s">
        <v>246</v>
      </c>
      <c r="BB96"/>
      <c r="BC96"/>
    </row>
    <row r="97" spans="1:55" ht="16" x14ac:dyDescent="0.2">
      <c r="A97" t="s">
        <v>185</v>
      </c>
      <c r="B97" t="s">
        <v>232</v>
      </c>
      <c r="C97" t="s">
        <v>233</v>
      </c>
      <c r="D97" t="s">
        <v>73</v>
      </c>
      <c r="E97" t="s">
        <v>72</v>
      </c>
      <c r="F97" t="s">
        <v>73</v>
      </c>
      <c r="G97" t="s">
        <v>72</v>
      </c>
      <c r="H97" t="s">
        <v>72</v>
      </c>
      <c r="I97">
        <v>6</v>
      </c>
      <c r="Q97">
        <v>0</v>
      </c>
      <c r="R97">
        <v>0</v>
      </c>
      <c r="S97">
        <v>0</v>
      </c>
      <c r="T97">
        <v>0</v>
      </c>
      <c r="U97" t="s">
        <v>73</v>
      </c>
      <c r="V97">
        <v>5</v>
      </c>
      <c r="W97">
        <v>9</v>
      </c>
      <c r="X97">
        <v>2</v>
      </c>
      <c r="Y97">
        <v>2</v>
      </c>
      <c r="Z97">
        <v>0</v>
      </c>
      <c r="AA97">
        <v>0</v>
      </c>
      <c r="AB97">
        <v>0</v>
      </c>
      <c r="AC97" t="s">
        <v>73</v>
      </c>
      <c r="AD97">
        <v>0</v>
      </c>
      <c r="AE97">
        <v>0</v>
      </c>
      <c r="AF97">
        <v>0</v>
      </c>
      <c r="AG97">
        <v>0</v>
      </c>
      <c r="AH97">
        <v>0</v>
      </c>
      <c r="AI97">
        <v>60</v>
      </c>
      <c r="AJ97">
        <v>15</v>
      </c>
      <c r="AK97" t="s">
        <v>72</v>
      </c>
      <c r="AL97" t="s">
        <v>73</v>
      </c>
      <c r="AM97" s="42" t="s">
        <v>73</v>
      </c>
      <c r="AN97" t="s">
        <v>241</v>
      </c>
      <c r="AO97" s="56">
        <v>46003.902245370373</v>
      </c>
      <c r="AP97" s="56">
        <v>46044.747685185182</v>
      </c>
      <c r="AQ97" t="s">
        <v>73</v>
      </c>
      <c r="AR97" t="s">
        <v>73</v>
      </c>
      <c r="AS97" t="s">
        <v>73</v>
      </c>
      <c r="AT97" t="s">
        <v>73</v>
      </c>
      <c r="AU97" t="s">
        <v>73</v>
      </c>
      <c r="AV97" t="s">
        <v>73</v>
      </c>
      <c r="AW97">
        <v>0</v>
      </c>
      <c r="AX97" t="s">
        <v>75</v>
      </c>
      <c r="AY97" t="s">
        <v>235</v>
      </c>
      <c r="AZ97" t="s">
        <v>214</v>
      </c>
      <c r="BA97" t="s">
        <v>236</v>
      </c>
      <c r="BB97"/>
      <c r="BC97"/>
    </row>
    <row r="98" spans="1:55" ht="16" x14ac:dyDescent="0.2">
      <c r="A98" t="s">
        <v>185</v>
      </c>
      <c r="B98" t="s">
        <v>224</v>
      </c>
      <c r="C98" t="s">
        <v>225</v>
      </c>
      <c r="D98" t="s">
        <v>73</v>
      </c>
      <c r="E98" t="s">
        <v>72</v>
      </c>
      <c r="F98" t="s">
        <v>72</v>
      </c>
      <c r="G98" t="s">
        <v>73</v>
      </c>
      <c r="I98">
        <v>14</v>
      </c>
      <c r="J98">
        <v>4</v>
      </c>
      <c r="L98">
        <v>2</v>
      </c>
      <c r="N98">
        <v>4</v>
      </c>
      <c r="O98">
        <v>3</v>
      </c>
      <c r="Q98">
        <v>6</v>
      </c>
      <c r="R98">
        <v>3</v>
      </c>
      <c r="S98">
        <v>3</v>
      </c>
      <c r="T98">
        <v>0</v>
      </c>
      <c r="U98" t="s">
        <v>73</v>
      </c>
      <c r="V98">
        <v>0</v>
      </c>
      <c r="W98">
        <v>0</v>
      </c>
      <c r="X98">
        <v>4</v>
      </c>
      <c r="Y98">
        <v>1</v>
      </c>
      <c r="Z98">
        <v>3</v>
      </c>
      <c r="AA98">
        <v>0</v>
      </c>
      <c r="AB98">
        <v>0</v>
      </c>
      <c r="AC98" t="s">
        <v>73</v>
      </c>
      <c r="AD98">
        <v>4</v>
      </c>
      <c r="AE98">
        <v>4</v>
      </c>
      <c r="AF98">
        <v>0</v>
      </c>
      <c r="AG98">
        <v>0</v>
      </c>
      <c r="AH98">
        <v>1</v>
      </c>
      <c r="AI98">
        <v>66</v>
      </c>
      <c r="AJ98">
        <v>8</v>
      </c>
      <c r="AK98" t="s">
        <v>72</v>
      </c>
      <c r="AL98" t="s">
        <v>73</v>
      </c>
      <c r="AM98" s="42" t="s">
        <v>73</v>
      </c>
      <c r="AN98" t="s">
        <v>242</v>
      </c>
      <c r="AO98" s="56">
        <v>46003.7893287037</v>
      </c>
      <c r="AP98" s="56">
        <v>46044.748067129629</v>
      </c>
      <c r="AQ98" t="s">
        <v>73</v>
      </c>
      <c r="AR98" t="s">
        <v>73</v>
      </c>
      <c r="AS98" t="s">
        <v>73</v>
      </c>
      <c r="AT98" t="s">
        <v>73</v>
      </c>
      <c r="AU98" t="s">
        <v>73</v>
      </c>
      <c r="AV98" t="s">
        <v>73</v>
      </c>
      <c r="AW98">
        <v>0</v>
      </c>
      <c r="AX98" t="s">
        <v>73</v>
      </c>
      <c r="AY98" t="s">
        <v>158</v>
      </c>
      <c r="AZ98" t="s">
        <v>158</v>
      </c>
      <c r="BA98" t="s">
        <v>158</v>
      </c>
      <c r="BB98"/>
      <c r="BC98"/>
    </row>
    <row r="99" spans="1:55" ht="16" x14ac:dyDescent="0.2">
      <c r="A99" t="s">
        <v>185</v>
      </c>
      <c r="B99" t="s">
        <v>216</v>
      </c>
      <c r="C99" t="s">
        <v>217</v>
      </c>
      <c r="D99" t="s">
        <v>73</v>
      </c>
      <c r="E99" t="s">
        <v>72</v>
      </c>
      <c r="F99" t="s">
        <v>73</v>
      </c>
      <c r="G99" t="s">
        <v>73</v>
      </c>
      <c r="I99">
        <v>9</v>
      </c>
      <c r="L99">
        <v>3</v>
      </c>
      <c r="Q99">
        <v>0</v>
      </c>
      <c r="R99">
        <v>0</v>
      </c>
      <c r="S99">
        <v>0</v>
      </c>
      <c r="T99">
        <v>0</v>
      </c>
      <c r="U99" t="s">
        <v>73</v>
      </c>
      <c r="V99">
        <v>0</v>
      </c>
      <c r="W99">
        <v>0</v>
      </c>
      <c r="X99">
        <v>4</v>
      </c>
      <c r="Y99">
        <v>2</v>
      </c>
      <c r="Z99">
        <v>1</v>
      </c>
      <c r="AA99">
        <v>0</v>
      </c>
      <c r="AB99">
        <v>1</v>
      </c>
      <c r="AC99" t="s">
        <v>72</v>
      </c>
      <c r="AD99">
        <v>3</v>
      </c>
      <c r="AE99">
        <v>3</v>
      </c>
      <c r="AF99">
        <v>0</v>
      </c>
      <c r="AG99">
        <v>3</v>
      </c>
      <c r="AH99">
        <v>0</v>
      </c>
      <c r="AI99">
        <v>77</v>
      </c>
      <c r="AJ99">
        <v>12</v>
      </c>
      <c r="AK99" t="s">
        <v>73</v>
      </c>
      <c r="AL99" t="s">
        <v>73</v>
      </c>
      <c r="AM99" s="42" t="s">
        <v>73</v>
      </c>
      <c r="AN99" t="s">
        <v>230</v>
      </c>
      <c r="AO99" s="56">
        <v>46003.556469907409</v>
      </c>
      <c r="AP99" s="56">
        <v>46044.748379629629</v>
      </c>
      <c r="AQ99" t="s">
        <v>73</v>
      </c>
      <c r="AR99" t="s">
        <v>73</v>
      </c>
      <c r="AS99" t="s">
        <v>73</v>
      </c>
      <c r="AT99" t="s">
        <v>73</v>
      </c>
      <c r="AU99" t="s">
        <v>73</v>
      </c>
      <c r="AV99" t="s">
        <v>73</v>
      </c>
      <c r="AW99">
        <v>0</v>
      </c>
      <c r="AX99" t="s">
        <v>73</v>
      </c>
      <c r="AY99" t="s">
        <v>158</v>
      </c>
      <c r="AZ99" t="s">
        <v>158</v>
      </c>
      <c r="BA99" t="s">
        <v>158</v>
      </c>
      <c r="BB99"/>
      <c r="BC99"/>
    </row>
    <row r="100" spans="1:55" ht="16" x14ac:dyDescent="0.2">
      <c r="A100" t="s">
        <v>185</v>
      </c>
      <c r="B100" t="s">
        <v>209</v>
      </c>
      <c r="C100" t="s">
        <v>210</v>
      </c>
      <c r="D100" t="s">
        <v>73</v>
      </c>
      <c r="E100" t="s">
        <v>72</v>
      </c>
      <c r="F100" t="s">
        <v>72</v>
      </c>
      <c r="G100" t="s">
        <v>72</v>
      </c>
      <c r="H100" t="s">
        <v>72</v>
      </c>
      <c r="I100">
        <v>8</v>
      </c>
      <c r="J100">
        <v>4</v>
      </c>
      <c r="L100">
        <v>4</v>
      </c>
      <c r="N100">
        <v>4</v>
      </c>
      <c r="O100">
        <v>3</v>
      </c>
      <c r="Q100">
        <v>4</v>
      </c>
      <c r="R100">
        <v>1</v>
      </c>
      <c r="S100">
        <v>3</v>
      </c>
      <c r="T100">
        <v>0</v>
      </c>
      <c r="U100" t="s">
        <v>73</v>
      </c>
      <c r="V100">
        <v>7</v>
      </c>
      <c r="W100">
        <v>20</v>
      </c>
      <c r="X100">
        <v>11</v>
      </c>
      <c r="Y100">
        <v>9</v>
      </c>
      <c r="Z100">
        <v>1</v>
      </c>
      <c r="AA100">
        <v>0</v>
      </c>
      <c r="AB100">
        <v>1</v>
      </c>
      <c r="AC100" t="s">
        <v>73</v>
      </c>
      <c r="AD100">
        <v>6</v>
      </c>
      <c r="AE100">
        <v>0</v>
      </c>
      <c r="AF100">
        <v>0</v>
      </c>
      <c r="AG100">
        <v>6</v>
      </c>
      <c r="AH100">
        <v>1</v>
      </c>
      <c r="AI100">
        <v>85</v>
      </c>
      <c r="AJ100">
        <v>27</v>
      </c>
      <c r="AK100" t="s">
        <v>72</v>
      </c>
      <c r="AL100" t="s">
        <v>73</v>
      </c>
      <c r="AM100" s="42" t="s">
        <v>73</v>
      </c>
      <c r="AN100" t="s">
        <v>231</v>
      </c>
      <c r="AO100" s="56">
        <v>46002.965682870374</v>
      </c>
      <c r="AP100" s="56">
        <v>46018.817372685182</v>
      </c>
      <c r="AQ100" t="s">
        <v>73</v>
      </c>
      <c r="AR100" t="s">
        <v>73</v>
      </c>
      <c r="AS100" t="s">
        <v>73</v>
      </c>
      <c r="AT100" t="s">
        <v>73</v>
      </c>
      <c r="AU100" t="s">
        <v>73</v>
      </c>
      <c r="AV100" t="s">
        <v>73</v>
      </c>
      <c r="AW100">
        <v>0</v>
      </c>
      <c r="AX100" t="s">
        <v>75</v>
      </c>
      <c r="AY100" t="s">
        <v>418</v>
      </c>
      <c r="AZ100" t="s">
        <v>228</v>
      </c>
      <c r="BA100" t="s">
        <v>229</v>
      </c>
      <c r="BB100"/>
      <c r="BC100"/>
    </row>
    <row r="101" spans="1:55" ht="16" x14ac:dyDescent="0.2">
      <c r="A101" t="s">
        <v>185</v>
      </c>
      <c r="B101" t="s">
        <v>188</v>
      </c>
      <c r="C101" t="s">
        <v>189</v>
      </c>
      <c r="D101" t="s">
        <v>73</v>
      </c>
      <c r="E101" t="s">
        <v>72</v>
      </c>
      <c r="F101" t="s">
        <v>73</v>
      </c>
      <c r="G101" t="s">
        <v>73</v>
      </c>
      <c r="I101">
        <v>6</v>
      </c>
      <c r="Q101">
        <v>0</v>
      </c>
      <c r="R101">
        <v>0</v>
      </c>
      <c r="S101">
        <v>0</v>
      </c>
      <c r="T101">
        <v>0</v>
      </c>
      <c r="U101" t="s">
        <v>73</v>
      </c>
      <c r="V101">
        <v>0</v>
      </c>
      <c r="W101">
        <v>0</v>
      </c>
      <c r="X101">
        <v>0</v>
      </c>
      <c r="Y101">
        <v>0</v>
      </c>
      <c r="Z101">
        <v>0</v>
      </c>
      <c r="AA101">
        <v>0</v>
      </c>
      <c r="AB101">
        <v>0</v>
      </c>
      <c r="AC101" t="s">
        <v>73</v>
      </c>
      <c r="AD101">
        <v>0</v>
      </c>
      <c r="AE101">
        <v>0</v>
      </c>
      <c r="AF101">
        <v>0</v>
      </c>
      <c r="AG101">
        <v>0</v>
      </c>
      <c r="AH101">
        <v>0</v>
      </c>
      <c r="AI101">
        <v>10</v>
      </c>
      <c r="AJ101">
        <v>0</v>
      </c>
      <c r="AK101" t="s">
        <v>73</v>
      </c>
      <c r="AL101" t="s">
        <v>73</v>
      </c>
      <c r="AM101" s="42" t="s">
        <v>73</v>
      </c>
      <c r="AN101" t="s">
        <v>196</v>
      </c>
      <c r="AO101" s="56">
        <v>46000.698564814818</v>
      </c>
      <c r="AP101" s="56">
        <v>46000.656898148147</v>
      </c>
      <c r="AQ101" t="s">
        <v>73</v>
      </c>
      <c r="AR101" t="s">
        <v>73</v>
      </c>
      <c r="AS101" t="s">
        <v>73</v>
      </c>
      <c r="AT101" t="s">
        <v>73</v>
      </c>
      <c r="AU101" t="s">
        <v>73</v>
      </c>
      <c r="AV101" t="s">
        <v>73</v>
      </c>
      <c r="AW101">
        <v>0</v>
      </c>
      <c r="AX101" t="s">
        <v>73</v>
      </c>
      <c r="AY101" t="s">
        <v>158</v>
      </c>
      <c r="AZ101" t="s">
        <v>158</v>
      </c>
      <c r="BA101" t="s">
        <v>158</v>
      </c>
      <c r="BB101"/>
      <c r="BC101"/>
    </row>
    <row r="102" spans="1:55" ht="16" x14ac:dyDescent="0.2">
      <c r="A102" t="s">
        <v>185</v>
      </c>
      <c r="B102" t="s">
        <v>192</v>
      </c>
      <c r="C102" t="s">
        <v>193</v>
      </c>
      <c r="D102" t="s">
        <v>73</v>
      </c>
      <c r="E102" t="s">
        <v>72</v>
      </c>
      <c r="F102" t="s">
        <v>72</v>
      </c>
      <c r="G102" t="s">
        <v>73</v>
      </c>
      <c r="J102">
        <v>8</v>
      </c>
      <c r="Q102">
        <v>0</v>
      </c>
      <c r="R102">
        <v>0</v>
      </c>
      <c r="S102">
        <v>0</v>
      </c>
      <c r="T102">
        <v>0</v>
      </c>
      <c r="U102" t="s">
        <v>73</v>
      </c>
      <c r="V102">
        <v>0</v>
      </c>
      <c r="W102">
        <v>0</v>
      </c>
      <c r="X102">
        <v>0</v>
      </c>
      <c r="Y102">
        <v>0</v>
      </c>
      <c r="Z102">
        <v>0</v>
      </c>
      <c r="AA102">
        <v>0</v>
      </c>
      <c r="AB102">
        <v>0</v>
      </c>
      <c r="AC102" t="s">
        <v>73</v>
      </c>
      <c r="AD102">
        <v>4</v>
      </c>
      <c r="AE102">
        <v>0</v>
      </c>
      <c r="AF102">
        <v>0</v>
      </c>
      <c r="AG102">
        <v>0</v>
      </c>
      <c r="AH102">
        <v>0</v>
      </c>
      <c r="AI102">
        <v>20</v>
      </c>
      <c r="AJ102">
        <v>6</v>
      </c>
      <c r="AK102" t="s">
        <v>73</v>
      </c>
      <c r="AL102" t="s">
        <v>73</v>
      </c>
      <c r="AM102" s="42" t="s">
        <v>73</v>
      </c>
      <c r="AN102" t="s">
        <v>197</v>
      </c>
      <c r="AO102" s="56">
        <v>45999.859965277778</v>
      </c>
      <c r="AP102" s="56">
        <v>45999.818298611113</v>
      </c>
      <c r="AQ102" t="s">
        <v>73</v>
      </c>
      <c r="AR102" t="s">
        <v>73</v>
      </c>
      <c r="AS102" t="s">
        <v>73</v>
      </c>
      <c r="AT102" t="s">
        <v>73</v>
      </c>
      <c r="AU102" t="s">
        <v>73</v>
      </c>
      <c r="AV102" t="s">
        <v>73</v>
      </c>
      <c r="AW102">
        <v>0</v>
      </c>
      <c r="AX102" t="s">
        <v>73</v>
      </c>
      <c r="AY102" t="s">
        <v>158</v>
      </c>
      <c r="AZ102" t="s">
        <v>158</v>
      </c>
      <c r="BA102" t="s">
        <v>158</v>
      </c>
      <c r="BB102"/>
      <c r="BC102"/>
    </row>
    <row r="103" spans="1:55" ht="176" x14ac:dyDescent="0.2">
      <c r="A103" t="s">
        <v>185</v>
      </c>
      <c r="B103" t="s">
        <v>165</v>
      </c>
      <c r="C103" t="s">
        <v>166</v>
      </c>
      <c r="D103" t="s">
        <v>72</v>
      </c>
      <c r="E103" t="s">
        <v>73</v>
      </c>
      <c r="F103" t="s">
        <v>72</v>
      </c>
      <c r="G103" t="s">
        <v>73</v>
      </c>
      <c r="I103">
        <v>4</v>
      </c>
      <c r="Q103">
        <v>0</v>
      </c>
      <c r="R103">
        <v>0</v>
      </c>
      <c r="S103">
        <v>0</v>
      </c>
      <c r="T103">
        <v>0</v>
      </c>
      <c r="U103" t="s">
        <v>73</v>
      </c>
      <c r="V103">
        <v>0</v>
      </c>
      <c r="W103">
        <v>0</v>
      </c>
      <c r="X103">
        <v>0</v>
      </c>
      <c r="Y103">
        <v>0</v>
      </c>
      <c r="Z103">
        <v>0</v>
      </c>
      <c r="AA103">
        <v>0</v>
      </c>
      <c r="AB103">
        <v>0</v>
      </c>
      <c r="AC103" t="s">
        <v>73</v>
      </c>
      <c r="AD103">
        <v>6</v>
      </c>
      <c r="AE103">
        <v>6</v>
      </c>
      <c r="AF103">
        <v>0</v>
      </c>
      <c r="AG103">
        <v>0</v>
      </c>
      <c r="AH103">
        <v>0</v>
      </c>
      <c r="AI103">
        <v>10</v>
      </c>
      <c r="AJ103">
        <v>2</v>
      </c>
      <c r="AK103" t="s">
        <v>73</v>
      </c>
      <c r="AL103" t="s">
        <v>73</v>
      </c>
      <c r="AM103" s="42" t="s">
        <v>243</v>
      </c>
      <c r="AN103" t="s">
        <v>198</v>
      </c>
      <c r="AO103" s="56">
        <v>45999.830659722225</v>
      </c>
      <c r="AP103" s="56">
        <v>46004.502511574072</v>
      </c>
      <c r="AQ103" t="s">
        <v>73</v>
      </c>
      <c r="AR103" t="s">
        <v>73</v>
      </c>
      <c r="AS103" t="s">
        <v>73</v>
      </c>
      <c r="AT103" t="s">
        <v>73</v>
      </c>
      <c r="AU103" t="s">
        <v>73</v>
      </c>
      <c r="AV103" t="s">
        <v>73</v>
      </c>
      <c r="AW103">
        <v>0</v>
      </c>
      <c r="AX103" t="s">
        <v>73</v>
      </c>
      <c r="AY103" t="s">
        <v>158</v>
      </c>
      <c r="AZ103" t="s">
        <v>158</v>
      </c>
      <c r="BA103" t="s">
        <v>158</v>
      </c>
      <c r="BB103"/>
      <c r="BC103"/>
    </row>
    <row r="104" spans="1:55" ht="16" x14ac:dyDescent="0.2">
      <c r="A104" t="s">
        <v>185</v>
      </c>
      <c r="B104" t="s">
        <v>176</v>
      </c>
      <c r="C104" t="s">
        <v>177</v>
      </c>
      <c r="D104" t="s">
        <v>73</v>
      </c>
      <c r="E104" t="s">
        <v>72</v>
      </c>
      <c r="F104" t="s">
        <v>72</v>
      </c>
      <c r="G104" t="s">
        <v>73</v>
      </c>
      <c r="I104">
        <v>4</v>
      </c>
      <c r="Q104">
        <v>0</v>
      </c>
      <c r="R104">
        <v>0</v>
      </c>
      <c r="S104">
        <v>0</v>
      </c>
      <c r="T104">
        <v>0</v>
      </c>
      <c r="U104" t="s">
        <v>73</v>
      </c>
      <c r="V104">
        <v>0</v>
      </c>
      <c r="W104">
        <v>0</v>
      </c>
      <c r="X104">
        <v>0</v>
      </c>
      <c r="Y104">
        <v>0</v>
      </c>
      <c r="Z104">
        <v>0</v>
      </c>
      <c r="AA104">
        <v>0</v>
      </c>
      <c r="AB104">
        <v>0</v>
      </c>
      <c r="AC104" t="s">
        <v>73</v>
      </c>
      <c r="AD104">
        <v>6</v>
      </c>
      <c r="AE104">
        <v>6</v>
      </c>
      <c r="AF104">
        <v>0</v>
      </c>
      <c r="AG104">
        <v>6</v>
      </c>
      <c r="AH104">
        <v>0</v>
      </c>
      <c r="AI104">
        <v>40</v>
      </c>
      <c r="AJ104">
        <v>12</v>
      </c>
      <c r="AK104" t="s">
        <v>72</v>
      </c>
      <c r="AL104" t="s">
        <v>73</v>
      </c>
      <c r="AM104" s="42" t="s">
        <v>73</v>
      </c>
      <c r="AN104" t="s">
        <v>186</v>
      </c>
      <c r="AO104" s="56">
        <v>45998.959953703707</v>
      </c>
      <c r="AP104" s="56">
        <v>46006.886087962965</v>
      </c>
      <c r="AQ104" t="s">
        <v>73</v>
      </c>
      <c r="AR104" t="s">
        <v>73</v>
      </c>
      <c r="AS104" t="s">
        <v>73</v>
      </c>
      <c r="AT104" t="s">
        <v>73</v>
      </c>
      <c r="AU104" t="s">
        <v>73</v>
      </c>
      <c r="AV104" t="s">
        <v>73</v>
      </c>
      <c r="AW104">
        <v>0</v>
      </c>
      <c r="AX104" t="s">
        <v>73</v>
      </c>
      <c r="AY104" t="s">
        <v>158</v>
      </c>
      <c r="AZ104" t="s">
        <v>158</v>
      </c>
      <c r="BA104" t="s">
        <v>158</v>
      </c>
      <c r="BB104"/>
      <c r="BC104"/>
    </row>
    <row r="105" spans="1:55" ht="16" x14ac:dyDescent="0.2">
      <c r="A105" t="s">
        <v>185</v>
      </c>
      <c r="B105" t="s">
        <v>182</v>
      </c>
      <c r="C105" t="s">
        <v>183</v>
      </c>
      <c r="D105" t="s">
        <v>73</v>
      </c>
      <c r="E105" t="s">
        <v>72</v>
      </c>
      <c r="F105" t="s">
        <v>72</v>
      </c>
      <c r="G105" t="s">
        <v>73</v>
      </c>
      <c r="I105">
        <v>8</v>
      </c>
      <c r="J105">
        <v>3</v>
      </c>
      <c r="Q105">
        <v>0</v>
      </c>
      <c r="R105">
        <v>0</v>
      </c>
      <c r="S105">
        <v>0</v>
      </c>
      <c r="T105">
        <v>0</v>
      </c>
      <c r="U105" t="s">
        <v>73</v>
      </c>
      <c r="V105">
        <v>0</v>
      </c>
      <c r="W105">
        <v>0</v>
      </c>
      <c r="X105">
        <v>0</v>
      </c>
      <c r="Y105">
        <v>0</v>
      </c>
      <c r="Z105">
        <v>0</v>
      </c>
      <c r="AA105">
        <v>0</v>
      </c>
      <c r="AB105">
        <v>0</v>
      </c>
      <c r="AC105" t="s">
        <v>72</v>
      </c>
      <c r="AD105">
        <v>0</v>
      </c>
      <c r="AE105">
        <v>0</v>
      </c>
      <c r="AF105">
        <v>0</v>
      </c>
      <c r="AG105">
        <v>0</v>
      </c>
      <c r="AH105">
        <v>1</v>
      </c>
      <c r="AI105">
        <v>35</v>
      </c>
      <c r="AJ105">
        <v>4</v>
      </c>
      <c r="AK105" t="s">
        <v>73</v>
      </c>
      <c r="AL105" t="s">
        <v>73</v>
      </c>
      <c r="AM105" s="42" t="s">
        <v>73</v>
      </c>
      <c r="AN105" t="s">
        <v>187</v>
      </c>
      <c r="AO105" s="56">
        <v>45998.524965277778</v>
      </c>
      <c r="AP105" s="56">
        <v>45998.483298611114</v>
      </c>
      <c r="AQ105" t="s">
        <v>73</v>
      </c>
      <c r="AR105" t="s">
        <v>73</v>
      </c>
      <c r="AS105" t="s">
        <v>73</v>
      </c>
      <c r="AT105" t="s">
        <v>73</v>
      </c>
      <c r="AU105" t="s">
        <v>73</v>
      </c>
      <c r="AV105" t="s">
        <v>73</v>
      </c>
      <c r="AW105">
        <v>0</v>
      </c>
      <c r="AX105" t="s">
        <v>73</v>
      </c>
      <c r="AY105" t="s">
        <v>158</v>
      </c>
      <c r="AZ105" t="s">
        <v>158</v>
      </c>
      <c r="BA105" t="s">
        <v>158</v>
      </c>
      <c r="BB105"/>
      <c r="BC105"/>
    </row>
    <row r="106" spans="1:55" x14ac:dyDescent="0.2">
      <c r="A106" t="s">
        <v>79</v>
      </c>
      <c r="C106">
        <f>SUBTOTAL(103,Kringdagen_[Naam vereniging])</f>
        <v>99</v>
      </c>
      <c r="D106" s="1">
        <f>COUNTIF(Kringdagen_[Delegatie],"x")</f>
        <v>4</v>
      </c>
      <c r="E106" s="1">
        <f>COUNTIF(Kringdagen_[Muziekkorps tijdens mars en defilé],"x")</f>
        <v>90</v>
      </c>
      <c r="F106" s="1">
        <f>COUNTIF(Kringdagen_[Deelname jeugdkoningschieten],"x")</f>
        <v>69</v>
      </c>
      <c r="G106" s="7">
        <f>COUNTIF(Kringdagen_[Maj. Senioren jureren bij mars],"x")</f>
        <v>11</v>
      </c>
      <c r="H106" s="7">
        <f>COUNTIF(Kringdagen_[Maj. Jeugd jureren bij mars],"x")</f>
        <v>16</v>
      </c>
      <c r="I106" s="1">
        <f>SUBTOTAL(109,Kringdagen_[Korps senioren])</f>
        <v>569</v>
      </c>
      <c r="J106" s="1">
        <f>SUBTOTAL(109,Kringdagen_[Junioren korps 1])</f>
        <v>184</v>
      </c>
      <c r="K106" s="1">
        <f>SUBTOTAL(109,Kringdagen_[Junioren korps 2])</f>
        <v>0</v>
      </c>
      <c r="L106" s="1">
        <f>SUBTOTAL(109,Kringdagen_[Aspiranten korps 1])</f>
        <v>118</v>
      </c>
      <c r="M106" s="1">
        <f>SUBTOTAL(109,Kringdagen_[Aspiranten korps 2])</f>
        <v>0</v>
      </c>
      <c r="N106" s="1">
        <f>SUBTOTAL(109,Kringdagen_[Acrobatisch senioren])</f>
        <v>97</v>
      </c>
      <c r="O106" s="1">
        <f>SUBTOTAL(109,Kringdagen_[Acrobatisch junioren])</f>
        <v>17</v>
      </c>
      <c r="P106" s="1">
        <f>SUBTOTAL(109,Kringdagen_[Acrobatisch aspiranten])</f>
        <v>0</v>
      </c>
      <c r="Q106">
        <f>SUBTOTAL(109,Kringdagen_[Opgeven vendeliers ind.])</f>
        <v>63</v>
      </c>
      <c r="R106">
        <f>SUBTOTAL(109,Kringdagen_[Acrob. senioren indiv.])</f>
        <v>32</v>
      </c>
      <c r="S106">
        <f>SUBTOTAL(109,Kringdagen_[Acrob. junioren indiv.])</f>
        <v>23</v>
      </c>
      <c r="T106">
        <f>SUBTOTAL(109,Kringdagen_[Acrob. aspiranten indiv.])</f>
        <v>8</v>
      </c>
      <c r="U106" s="7">
        <f>COUNTIF(Kringdagen_[Deelname hoofdkorps],"x")</f>
        <v>13</v>
      </c>
      <c r="V106" s="1">
        <f>SUBTOTAL(109,Kringdagen_[Groepen, teams, ensembles en duo''s])</f>
        <v>78</v>
      </c>
      <c r="W106" s="1">
        <f>SUBTOTAL(109,Kringdagen_[Aantal opgegeven majorettes])</f>
        <v>235</v>
      </c>
      <c r="X106">
        <f>SUBTOTAL(109,Kringdagen_[Opgeven bielemannen])</f>
        <v>201</v>
      </c>
      <c r="Y106" s="1">
        <f>SUBTOTAL(109,Kringdagen_[Senioren])</f>
        <v>152</v>
      </c>
      <c r="Z106" s="1">
        <f>SUBTOTAL(109,Kringdagen_[Jong Volwassene])</f>
        <v>31</v>
      </c>
      <c r="AA106" s="1">
        <f>SUBTOTAL(109,Kringdagen_[Junioren])</f>
        <v>4</v>
      </c>
      <c r="AB106" s="1">
        <f>SUBTOTAL(109,Kringdagen_[Aspiranten])</f>
        <v>14</v>
      </c>
      <c r="AC106" s="7">
        <f>COUNTIF(Kringdagen_[Deelname marketentsters],"x")</f>
        <v>20</v>
      </c>
      <c r="AD106">
        <f>SUBTOTAL(109,Kringdagen_[Aantal luchtgeweerschutters])</f>
        <v>290</v>
      </c>
      <c r="AE106" s="1">
        <f>SUBTOTAL(109,Kringdagen_[Aantal luchtpistoolschutters])</f>
        <v>237</v>
      </c>
      <c r="AF106">
        <f>SUBTOTAL(109,Kringdagen_[Aantal handboogschutters])</f>
        <v>19</v>
      </c>
      <c r="AG106" s="1">
        <f>SUBTOTAL(109,Kringdagen_[Aantal kruisboogschutters])</f>
        <v>224</v>
      </c>
      <c r="AH106">
        <f>SUBTOTAL(109,Kringdagen_[(Aantal jeugdkorpsen])</f>
        <v>44</v>
      </c>
      <c r="AI106" s="1">
        <f>SUBTOTAL(109,Kringdagen_[Totaal aantal deelnemers])</f>
        <v>5009</v>
      </c>
      <c r="AJ106" s="1">
        <f>SUBTOTAL(109,Kringdagen_[Waarvan aantal jeugd (t/m 15 jaar)])</f>
        <v>959</v>
      </c>
      <c r="AK106" s="55">
        <f>COUNTIF(Kringdagen_[Kanon etc.],"x")</f>
        <v>30</v>
      </c>
      <c r="AL106" s="1">
        <f>COUNTIF(Kringdagen_[Paarden en/of koetsen],"x")</f>
        <v>10</v>
      </c>
      <c r="AM106" s="44"/>
      <c r="AN106" s="1"/>
      <c r="AO106" s="1"/>
      <c r="AP106" s="1"/>
      <c r="AQ106" s="1"/>
      <c r="AR106" s="1"/>
      <c r="AS106" s="1"/>
      <c r="AT106" s="1"/>
      <c r="AU106" s="1"/>
      <c r="AV106" s="1"/>
      <c r="AW106" s="1">
        <f>SUBTOTAL(109,Kringdagen_[Korps bestaat uit ... deelnemers (hoofdkorps)])</f>
        <v>399</v>
      </c>
      <c r="AY106" s="1"/>
      <c r="AZ106" s="1"/>
      <c r="BA106" s="1"/>
      <c r="BC106"/>
    </row>
    <row r="107" spans="1:55" x14ac:dyDescent="0.2">
      <c r="BC107"/>
    </row>
    <row r="108" spans="1:55" x14ac:dyDescent="0.2">
      <c r="BC108"/>
    </row>
  </sheetData>
  <mergeCells count="11">
    <mergeCell ref="AR3:AW4"/>
    <mergeCell ref="AX3:BA4"/>
    <mergeCell ref="N4:P4"/>
    <mergeCell ref="D3:H4"/>
    <mergeCell ref="J3:T3"/>
    <mergeCell ref="X3:AB4"/>
    <mergeCell ref="I4:M4"/>
    <mergeCell ref="Q4:T4"/>
    <mergeCell ref="AC3:AC4"/>
    <mergeCell ref="AD3:AH4"/>
    <mergeCell ref="AI3:AQ4"/>
  </mergeCells>
  <phoneticPr fontId="2" type="noConversion"/>
  <pageMargins left="0.7" right="0.7" top="0.75" bottom="0.75" header="0.3" footer="0.3"/>
  <pageSetup paperSize="9" orientation="landscape" horizont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FB857-9D6B-40E6-B1B5-B048A8634108}">
  <dimension ref="A1:BA23"/>
  <sheetViews>
    <sheetView topLeftCell="A6" zoomScale="110" zoomScaleNormal="110" workbookViewId="0">
      <selection activeCell="C23" sqref="C23:C24"/>
    </sheetView>
  </sheetViews>
  <sheetFormatPr baseColWidth="10" defaultColWidth="9.1640625" defaultRowHeight="15" x14ac:dyDescent="0.2"/>
  <cols>
    <col min="1" max="1" width="11" bestFit="1" customWidth="1"/>
    <col min="2" max="2" width="9.1640625" bestFit="1" customWidth="1"/>
    <col min="3" max="3" width="35" style="47" bestFit="1" customWidth="1"/>
    <col min="4" max="34" width="3.6640625" style="1" bestFit="1" customWidth="1"/>
    <col min="35" max="36" width="4.1640625" style="1" bestFit="1" customWidth="1"/>
    <col min="37" max="38" width="3.6640625" style="1" bestFit="1" customWidth="1"/>
    <col min="39" max="39" width="80.33203125" style="44" bestFit="1" customWidth="1"/>
    <col min="40" max="40" width="5.1640625" style="1" bestFit="1" customWidth="1"/>
    <col min="41" max="42" width="15" style="1" bestFit="1" customWidth="1"/>
    <col min="43" max="43" width="3.6640625" style="1" bestFit="1" customWidth="1"/>
    <col min="44" max="44" width="3.6640625" style="42" bestFit="1" customWidth="1"/>
    <col min="45" max="48" width="3.6640625" bestFit="1" customWidth="1"/>
    <col min="49" max="49" width="3.6640625" style="44" bestFit="1" customWidth="1"/>
    <col min="50" max="50" width="4.1640625" style="1" bestFit="1" customWidth="1"/>
    <col min="51" max="51" width="41.6640625" style="24" bestFit="1" customWidth="1"/>
    <col min="52" max="52" width="43" bestFit="1" customWidth="1"/>
    <col min="53" max="53" width="37" bestFit="1" customWidth="1"/>
  </cols>
  <sheetData>
    <row r="1" spans="1:53" ht="27" customHeight="1" x14ac:dyDescent="0.2">
      <c r="A1" s="108" t="s">
        <v>80</v>
      </c>
      <c r="B1" s="108"/>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08"/>
      <c r="AD1" s="108"/>
      <c r="AE1" s="108"/>
      <c r="AF1" s="108"/>
      <c r="AG1" s="108"/>
      <c r="AH1" s="108"/>
      <c r="AI1" s="108"/>
      <c r="AJ1" s="108"/>
      <c r="AK1" s="108"/>
      <c r="AL1" s="108"/>
      <c r="AM1" s="108"/>
      <c r="AN1" s="108"/>
      <c r="AO1" s="108"/>
      <c r="AP1" s="108"/>
      <c r="AQ1" s="108"/>
      <c r="AR1" s="108"/>
      <c r="AS1" s="108"/>
      <c r="AT1" s="108"/>
      <c r="AU1" s="108"/>
      <c r="AV1" s="108"/>
      <c r="AW1" s="108"/>
      <c r="AX1" s="108"/>
      <c r="AY1" s="108"/>
      <c r="AZ1" s="108"/>
      <c r="BA1" s="108"/>
    </row>
    <row r="2" spans="1:53" ht="20" thickBot="1" x14ac:dyDescent="0.3">
      <c r="A2" s="109" t="s">
        <v>175</v>
      </c>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c r="AV2" s="109"/>
      <c r="AW2" s="109"/>
      <c r="AX2" s="109"/>
      <c r="AY2" s="109"/>
      <c r="AZ2" s="109"/>
      <c r="BA2" s="109"/>
    </row>
    <row r="3" spans="1:53" ht="16" thickBot="1" x14ac:dyDescent="0.25">
      <c r="C3" s="62"/>
      <c r="T3" s="53"/>
      <c r="U3" s="53"/>
      <c r="AA3" s="66"/>
      <c r="AR3" s="1"/>
      <c r="AS3" s="1"/>
      <c r="AT3" s="1"/>
      <c r="AU3" s="1"/>
      <c r="AV3" s="1"/>
      <c r="AW3" s="1"/>
      <c r="AY3" s="1"/>
      <c r="AZ3" s="1"/>
      <c r="BA3" s="44"/>
    </row>
    <row r="4" spans="1:53" ht="33" customHeight="1" thickBot="1" x14ac:dyDescent="0.25">
      <c r="A4" s="67"/>
      <c r="B4" s="68"/>
      <c r="C4" s="69"/>
      <c r="D4" s="95" t="s">
        <v>1</v>
      </c>
      <c r="E4" s="96"/>
      <c r="F4" s="96"/>
      <c r="G4" s="96"/>
      <c r="H4" s="97"/>
      <c r="I4" s="72"/>
      <c r="J4" s="102" t="s">
        <v>2</v>
      </c>
      <c r="K4" s="102"/>
      <c r="L4" s="102"/>
      <c r="M4" s="102"/>
      <c r="N4" s="102"/>
      <c r="O4" s="102"/>
      <c r="P4" s="102"/>
      <c r="Q4" s="102"/>
      <c r="R4" s="102"/>
      <c r="S4" s="102"/>
      <c r="T4" s="103"/>
      <c r="U4" s="17" t="s">
        <v>3</v>
      </c>
      <c r="V4" s="11" t="s">
        <v>150</v>
      </c>
      <c r="W4" s="13"/>
      <c r="X4" s="95" t="s">
        <v>5</v>
      </c>
      <c r="Y4" s="96"/>
      <c r="Z4" s="96"/>
      <c r="AA4" s="96"/>
      <c r="AB4" s="97"/>
      <c r="AC4" s="106" t="s">
        <v>151</v>
      </c>
      <c r="AD4" s="95" t="s">
        <v>7</v>
      </c>
      <c r="AE4" s="96"/>
      <c r="AF4" s="96"/>
      <c r="AG4" s="96"/>
      <c r="AH4" s="97"/>
      <c r="AI4" s="95" t="s">
        <v>8</v>
      </c>
      <c r="AJ4" s="96"/>
      <c r="AK4" s="96"/>
      <c r="AL4" s="96"/>
      <c r="AM4" s="96"/>
      <c r="AN4" s="96"/>
      <c r="AO4" s="96"/>
      <c r="AP4" s="96"/>
      <c r="AQ4" s="97"/>
      <c r="AR4" s="89" t="s">
        <v>9</v>
      </c>
      <c r="AS4" s="90"/>
      <c r="AT4" s="90"/>
      <c r="AU4" s="90"/>
      <c r="AV4" s="90"/>
      <c r="AW4" s="91"/>
      <c r="AX4" s="95" t="s">
        <v>152</v>
      </c>
      <c r="AY4" s="96"/>
      <c r="AZ4" s="96"/>
      <c r="BA4" s="97"/>
    </row>
    <row r="5" spans="1:53" ht="16" thickBot="1" x14ac:dyDescent="0.25">
      <c r="A5" s="70"/>
      <c r="B5" s="71"/>
      <c r="C5" s="61"/>
      <c r="D5" s="98"/>
      <c r="E5" s="99"/>
      <c r="F5" s="99"/>
      <c r="G5" s="99"/>
      <c r="H5" s="100"/>
      <c r="I5" s="101" t="s">
        <v>11</v>
      </c>
      <c r="J5" s="104"/>
      <c r="K5" s="104"/>
      <c r="L5" s="104"/>
      <c r="M5" s="105"/>
      <c r="N5" s="101" t="s">
        <v>87</v>
      </c>
      <c r="O5" s="102"/>
      <c r="P5" s="103"/>
      <c r="Q5" s="101" t="s">
        <v>14</v>
      </c>
      <c r="R5" s="102"/>
      <c r="S5" s="102"/>
      <c r="T5" s="102"/>
      <c r="U5" s="18"/>
      <c r="V5" s="14"/>
      <c r="W5" s="16"/>
      <c r="X5" s="98"/>
      <c r="Y5" s="99"/>
      <c r="Z5" s="99"/>
      <c r="AA5" s="99"/>
      <c r="AB5" s="100"/>
      <c r="AC5" s="107"/>
      <c r="AD5" s="98"/>
      <c r="AE5" s="99"/>
      <c r="AF5" s="99"/>
      <c r="AG5" s="99"/>
      <c r="AH5" s="100"/>
      <c r="AI5" s="98"/>
      <c r="AJ5" s="99"/>
      <c r="AK5" s="99"/>
      <c r="AL5" s="99"/>
      <c r="AM5" s="99"/>
      <c r="AN5" s="99"/>
      <c r="AO5" s="99"/>
      <c r="AP5" s="99"/>
      <c r="AQ5" s="100"/>
      <c r="AR5" s="92"/>
      <c r="AS5" s="93"/>
      <c r="AT5" s="93"/>
      <c r="AU5" s="93"/>
      <c r="AV5" s="93"/>
      <c r="AW5" s="94"/>
      <c r="AX5" s="98"/>
      <c r="AY5" s="99"/>
      <c r="AZ5" s="99"/>
      <c r="BA5" s="100"/>
    </row>
    <row r="6" spans="1:53" s="74" customFormat="1" ht="278" thickBot="1" x14ac:dyDescent="0.25">
      <c r="A6" s="73" t="s">
        <v>17</v>
      </c>
      <c r="B6" s="73" t="s">
        <v>149</v>
      </c>
      <c r="C6" s="73" t="s">
        <v>19</v>
      </c>
      <c r="D6" s="77" t="s">
        <v>20</v>
      </c>
      <c r="E6" s="78" t="s">
        <v>141</v>
      </c>
      <c r="F6" s="78" t="s">
        <v>142</v>
      </c>
      <c r="G6" s="78" t="s">
        <v>23</v>
      </c>
      <c r="H6" s="79" t="s">
        <v>24</v>
      </c>
      <c r="I6" s="77" t="s">
        <v>25</v>
      </c>
      <c r="J6" s="78" t="s">
        <v>121</v>
      </c>
      <c r="K6" s="78" t="s">
        <v>122</v>
      </c>
      <c r="L6" s="78" t="s">
        <v>123</v>
      </c>
      <c r="M6" s="78" t="s">
        <v>124</v>
      </c>
      <c r="N6" s="78" t="s">
        <v>26</v>
      </c>
      <c r="O6" s="78" t="s">
        <v>27</v>
      </c>
      <c r="P6" s="78" t="s">
        <v>28</v>
      </c>
      <c r="Q6" s="78" t="s">
        <v>146</v>
      </c>
      <c r="R6" s="78" t="s">
        <v>133</v>
      </c>
      <c r="S6" s="78" t="s">
        <v>134</v>
      </c>
      <c r="T6" s="79" t="s">
        <v>135</v>
      </c>
      <c r="U6" s="80" t="s">
        <v>144</v>
      </c>
      <c r="V6" s="77" t="s">
        <v>105</v>
      </c>
      <c r="W6" s="79" t="s">
        <v>71</v>
      </c>
      <c r="X6" s="77" t="s">
        <v>147</v>
      </c>
      <c r="Y6" s="78" t="s">
        <v>38</v>
      </c>
      <c r="Z6" s="78" t="s">
        <v>140</v>
      </c>
      <c r="AA6" s="78" t="s">
        <v>39</v>
      </c>
      <c r="AB6" s="79" t="s">
        <v>40</v>
      </c>
      <c r="AC6" s="80" t="s">
        <v>143</v>
      </c>
      <c r="AD6" s="77" t="s">
        <v>117</v>
      </c>
      <c r="AE6" s="78" t="s">
        <v>118</v>
      </c>
      <c r="AF6" s="78" t="s">
        <v>119</v>
      </c>
      <c r="AG6" s="78" t="s">
        <v>120</v>
      </c>
      <c r="AH6" s="79" t="s">
        <v>148</v>
      </c>
      <c r="AI6" s="81" t="s">
        <v>46</v>
      </c>
      <c r="AJ6" s="78" t="s">
        <v>47</v>
      </c>
      <c r="AK6" s="78" t="s">
        <v>48</v>
      </c>
      <c r="AL6" s="78" t="s">
        <v>49</v>
      </c>
      <c r="AM6" s="86" t="s">
        <v>50</v>
      </c>
      <c r="AN6" s="78" t="s">
        <v>51</v>
      </c>
      <c r="AO6" s="78" t="s">
        <v>52</v>
      </c>
      <c r="AP6" s="78" t="s">
        <v>103</v>
      </c>
      <c r="AQ6" s="79" t="s">
        <v>53</v>
      </c>
      <c r="AR6" s="77" t="s">
        <v>54</v>
      </c>
      <c r="AS6" s="78" t="s">
        <v>55</v>
      </c>
      <c r="AT6" s="78" t="s">
        <v>56</v>
      </c>
      <c r="AU6" s="78" t="s">
        <v>57</v>
      </c>
      <c r="AV6" s="78" t="s">
        <v>58</v>
      </c>
      <c r="AW6" s="79" t="s">
        <v>59</v>
      </c>
      <c r="AX6" s="77" t="s">
        <v>145</v>
      </c>
      <c r="AY6" s="78" t="s">
        <v>67</v>
      </c>
      <c r="AZ6" s="78" t="s">
        <v>68</v>
      </c>
      <c r="BA6" s="79" t="s">
        <v>69</v>
      </c>
    </row>
    <row r="7" spans="1:53" ht="32" hidden="1" x14ac:dyDescent="0.2">
      <c r="A7" t="s">
        <v>208</v>
      </c>
      <c r="B7" t="s">
        <v>436</v>
      </c>
      <c r="C7" t="s">
        <v>437</v>
      </c>
      <c r="D7" t="s">
        <v>73</v>
      </c>
      <c r="E7" t="s">
        <v>72</v>
      </c>
      <c r="F7" t="s">
        <v>72</v>
      </c>
      <c r="G7" t="s">
        <v>73</v>
      </c>
      <c r="H7"/>
      <c r="I7">
        <v>10</v>
      </c>
      <c r="J7">
        <v>6</v>
      </c>
      <c r="K7"/>
      <c r="L7"/>
      <c r="M7"/>
      <c r="N7">
        <v>3</v>
      </c>
      <c r="O7"/>
      <c r="P7"/>
      <c r="Q7">
        <v>0</v>
      </c>
      <c r="R7">
        <v>0</v>
      </c>
      <c r="S7">
        <v>0</v>
      </c>
      <c r="T7">
        <v>0</v>
      </c>
      <c r="U7" t="s">
        <v>73</v>
      </c>
      <c r="V7">
        <v>0</v>
      </c>
      <c r="W7">
        <v>0</v>
      </c>
      <c r="X7">
        <v>5</v>
      </c>
      <c r="Y7">
        <v>3</v>
      </c>
      <c r="Z7">
        <v>1</v>
      </c>
      <c r="AA7">
        <v>0</v>
      </c>
      <c r="AB7">
        <v>1</v>
      </c>
      <c r="AC7" t="s">
        <v>73</v>
      </c>
      <c r="AD7">
        <v>0</v>
      </c>
      <c r="AE7">
        <v>0</v>
      </c>
      <c r="AF7">
        <v>0</v>
      </c>
      <c r="AG7">
        <v>0</v>
      </c>
      <c r="AH7">
        <v>0</v>
      </c>
      <c r="AI7">
        <v>60</v>
      </c>
      <c r="AJ7">
        <v>20</v>
      </c>
      <c r="AK7" t="s">
        <v>72</v>
      </c>
      <c r="AL7" t="s">
        <v>73</v>
      </c>
      <c r="AM7" s="42" t="s">
        <v>438</v>
      </c>
      <c r="AN7" t="s">
        <v>439</v>
      </c>
      <c r="AO7" s="56">
        <v>46021.879988425928</v>
      </c>
      <c r="AP7" s="56">
        <v>46021.838321759256</v>
      </c>
      <c r="AQ7" t="s">
        <v>73</v>
      </c>
      <c r="AR7" t="s">
        <v>73</v>
      </c>
      <c r="AS7" t="s">
        <v>73</v>
      </c>
      <c r="AT7" t="s">
        <v>73</v>
      </c>
      <c r="AU7" t="s">
        <v>73</v>
      </c>
      <c r="AV7" t="s">
        <v>73</v>
      </c>
      <c r="AW7">
        <v>0</v>
      </c>
      <c r="AX7" t="s">
        <v>73</v>
      </c>
      <c r="AY7" t="s">
        <v>158</v>
      </c>
      <c r="AZ7" t="s">
        <v>158</v>
      </c>
      <c r="BA7" t="s">
        <v>158</v>
      </c>
    </row>
    <row r="8" spans="1:53" ht="16" hidden="1" x14ac:dyDescent="0.2">
      <c r="A8" t="s">
        <v>208</v>
      </c>
      <c r="B8" t="s">
        <v>440</v>
      </c>
      <c r="C8" t="s">
        <v>441</v>
      </c>
      <c r="D8" t="s">
        <v>73</v>
      </c>
      <c r="E8" t="s">
        <v>73</v>
      </c>
      <c r="F8" t="s">
        <v>73</v>
      </c>
      <c r="G8" t="s">
        <v>73</v>
      </c>
      <c r="H8"/>
      <c r="I8">
        <v>4</v>
      </c>
      <c r="J8"/>
      <c r="K8"/>
      <c r="L8"/>
      <c r="M8"/>
      <c r="N8"/>
      <c r="O8"/>
      <c r="P8"/>
      <c r="Q8">
        <v>0</v>
      </c>
      <c r="R8">
        <v>0</v>
      </c>
      <c r="S8">
        <v>0</v>
      </c>
      <c r="T8">
        <v>0</v>
      </c>
      <c r="U8" t="s">
        <v>73</v>
      </c>
      <c r="V8">
        <v>0</v>
      </c>
      <c r="W8">
        <v>0</v>
      </c>
      <c r="X8">
        <v>0</v>
      </c>
      <c r="Y8">
        <v>0</v>
      </c>
      <c r="Z8">
        <v>0</v>
      </c>
      <c r="AA8">
        <v>0</v>
      </c>
      <c r="AB8">
        <v>0</v>
      </c>
      <c r="AC8" t="s">
        <v>73</v>
      </c>
      <c r="AD8">
        <v>0</v>
      </c>
      <c r="AE8">
        <v>0</v>
      </c>
      <c r="AF8">
        <v>0</v>
      </c>
      <c r="AG8">
        <v>0</v>
      </c>
      <c r="AH8">
        <v>0</v>
      </c>
      <c r="AI8">
        <v>15</v>
      </c>
      <c r="AJ8">
        <v>0</v>
      </c>
      <c r="AK8" t="s">
        <v>73</v>
      </c>
      <c r="AL8" t="s">
        <v>73</v>
      </c>
      <c r="AM8" s="42" t="s">
        <v>442</v>
      </c>
      <c r="AN8" t="s">
        <v>443</v>
      </c>
      <c r="AO8" s="56">
        <v>46021.874652777777</v>
      </c>
      <c r="AP8" s="56">
        <v>46021.832986111112</v>
      </c>
      <c r="AQ8" t="s">
        <v>73</v>
      </c>
      <c r="AR8" t="s">
        <v>73</v>
      </c>
      <c r="AS8" t="s">
        <v>73</v>
      </c>
      <c r="AT8" t="s">
        <v>73</v>
      </c>
      <c r="AU8" t="s">
        <v>73</v>
      </c>
      <c r="AV8" t="s">
        <v>73</v>
      </c>
      <c r="AW8">
        <v>0</v>
      </c>
      <c r="AX8" t="s">
        <v>73</v>
      </c>
      <c r="AY8" t="s">
        <v>158</v>
      </c>
      <c r="AZ8" t="s">
        <v>158</v>
      </c>
      <c r="BA8" t="s">
        <v>158</v>
      </c>
    </row>
    <row r="9" spans="1:53" ht="48" hidden="1" x14ac:dyDescent="0.2">
      <c r="A9" t="s">
        <v>208</v>
      </c>
      <c r="B9" t="s">
        <v>404</v>
      </c>
      <c r="C9" t="s">
        <v>405</v>
      </c>
      <c r="D9" t="s">
        <v>73</v>
      </c>
      <c r="E9" t="s">
        <v>72</v>
      </c>
      <c r="F9" t="s">
        <v>73</v>
      </c>
      <c r="G9" t="s">
        <v>73</v>
      </c>
      <c r="H9"/>
      <c r="I9">
        <v>3</v>
      </c>
      <c r="J9"/>
      <c r="K9"/>
      <c r="L9"/>
      <c r="M9"/>
      <c r="N9"/>
      <c r="O9"/>
      <c r="P9"/>
      <c r="Q9">
        <v>0</v>
      </c>
      <c r="R9">
        <v>0</v>
      </c>
      <c r="S9">
        <v>0</v>
      </c>
      <c r="T9">
        <v>0</v>
      </c>
      <c r="U9" t="s">
        <v>73</v>
      </c>
      <c r="V9">
        <v>0</v>
      </c>
      <c r="W9">
        <v>0</v>
      </c>
      <c r="X9">
        <v>0</v>
      </c>
      <c r="Y9">
        <v>0</v>
      </c>
      <c r="Z9">
        <v>0</v>
      </c>
      <c r="AA9">
        <v>0</v>
      </c>
      <c r="AB9">
        <v>0</v>
      </c>
      <c r="AC9" t="s">
        <v>73</v>
      </c>
      <c r="AD9">
        <v>0</v>
      </c>
      <c r="AE9">
        <v>0</v>
      </c>
      <c r="AF9">
        <v>0</v>
      </c>
      <c r="AG9">
        <v>0</v>
      </c>
      <c r="AH9">
        <v>0</v>
      </c>
      <c r="AI9">
        <v>50</v>
      </c>
      <c r="AJ9">
        <v>10</v>
      </c>
      <c r="AK9" t="s">
        <v>73</v>
      </c>
      <c r="AL9" t="s">
        <v>72</v>
      </c>
      <c r="AM9" s="42" t="s">
        <v>456</v>
      </c>
      <c r="AN9" t="s">
        <v>406</v>
      </c>
      <c r="AO9" s="56">
        <v>46019.440752314818</v>
      </c>
      <c r="AP9" s="56">
        <v>46023.433761574073</v>
      </c>
      <c r="AQ9" t="s">
        <v>73</v>
      </c>
      <c r="AR9" t="s">
        <v>73</v>
      </c>
      <c r="AS9" t="s">
        <v>73</v>
      </c>
      <c r="AT9" t="s">
        <v>73</v>
      </c>
      <c r="AU9" t="s">
        <v>73</v>
      </c>
      <c r="AV9" t="s">
        <v>73</v>
      </c>
      <c r="AW9">
        <v>0</v>
      </c>
      <c r="AX9" t="s">
        <v>73</v>
      </c>
      <c r="AY9" t="s">
        <v>158</v>
      </c>
      <c r="AZ9" t="s">
        <v>158</v>
      </c>
      <c r="BA9" t="s">
        <v>158</v>
      </c>
    </row>
    <row r="10" spans="1:53" ht="16" hidden="1" x14ac:dyDescent="0.2">
      <c r="A10" t="s">
        <v>208</v>
      </c>
      <c r="B10" t="s">
        <v>389</v>
      </c>
      <c r="C10" t="s">
        <v>390</v>
      </c>
      <c r="D10" t="s">
        <v>73</v>
      </c>
      <c r="E10" t="s">
        <v>72</v>
      </c>
      <c r="F10" t="s">
        <v>72</v>
      </c>
      <c r="G10" t="s">
        <v>72</v>
      </c>
      <c r="H10" t="s">
        <v>72</v>
      </c>
      <c r="I10">
        <v>13</v>
      </c>
      <c r="J10">
        <v>8</v>
      </c>
      <c r="K10"/>
      <c r="L10">
        <v>6</v>
      </c>
      <c r="M10"/>
      <c r="N10">
        <v>9</v>
      </c>
      <c r="O10"/>
      <c r="P10"/>
      <c r="Q10">
        <v>0</v>
      </c>
      <c r="R10">
        <v>0</v>
      </c>
      <c r="S10">
        <v>0</v>
      </c>
      <c r="T10">
        <v>0</v>
      </c>
      <c r="U10" t="s">
        <v>73</v>
      </c>
      <c r="V10">
        <v>5</v>
      </c>
      <c r="W10">
        <v>21</v>
      </c>
      <c r="X10">
        <v>16</v>
      </c>
      <c r="Y10">
        <v>7</v>
      </c>
      <c r="Z10">
        <v>7</v>
      </c>
      <c r="AA10">
        <v>0</v>
      </c>
      <c r="AB10">
        <v>2</v>
      </c>
      <c r="AC10" t="s">
        <v>73</v>
      </c>
      <c r="AD10">
        <v>0</v>
      </c>
      <c r="AE10">
        <v>0</v>
      </c>
      <c r="AF10">
        <v>0</v>
      </c>
      <c r="AG10">
        <v>0</v>
      </c>
      <c r="AH10">
        <v>0</v>
      </c>
      <c r="AI10">
        <v>120</v>
      </c>
      <c r="AJ10">
        <v>34</v>
      </c>
      <c r="AK10" t="s">
        <v>73</v>
      </c>
      <c r="AL10" t="s">
        <v>73</v>
      </c>
      <c r="AM10" s="42" t="s">
        <v>73</v>
      </c>
      <c r="AN10" t="s">
        <v>391</v>
      </c>
      <c r="AO10" s="56">
        <v>46017.522615740738</v>
      </c>
      <c r="AP10" s="56">
        <v>46044.741018518522</v>
      </c>
      <c r="AQ10" t="s">
        <v>73</v>
      </c>
      <c r="AR10" t="s">
        <v>73</v>
      </c>
      <c r="AS10" t="s">
        <v>73</v>
      </c>
      <c r="AT10" t="s">
        <v>73</v>
      </c>
      <c r="AU10" t="s">
        <v>73</v>
      </c>
      <c r="AV10" t="s">
        <v>73</v>
      </c>
      <c r="AW10">
        <v>0</v>
      </c>
      <c r="AX10" t="s">
        <v>75</v>
      </c>
      <c r="AY10" t="s">
        <v>392</v>
      </c>
      <c r="AZ10" t="s">
        <v>214</v>
      </c>
      <c r="BA10" t="s">
        <v>393</v>
      </c>
    </row>
    <row r="11" spans="1:53" ht="16" hidden="1" x14ac:dyDescent="0.2">
      <c r="A11" t="s">
        <v>208</v>
      </c>
      <c r="B11" t="s">
        <v>386</v>
      </c>
      <c r="C11" t="s">
        <v>387</v>
      </c>
      <c r="D11" t="s">
        <v>73</v>
      </c>
      <c r="E11" t="s">
        <v>72</v>
      </c>
      <c r="F11" t="s">
        <v>72</v>
      </c>
      <c r="G11" t="s">
        <v>73</v>
      </c>
      <c r="H11"/>
      <c r="I11">
        <v>12</v>
      </c>
      <c r="J11"/>
      <c r="K11"/>
      <c r="L11"/>
      <c r="M11"/>
      <c r="N11">
        <v>4</v>
      </c>
      <c r="O11"/>
      <c r="P11"/>
      <c r="Q11">
        <v>3</v>
      </c>
      <c r="R11">
        <v>3</v>
      </c>
      <c r="S11">
        <v>0</v>
      </c>
      <c r="T11">
        <v>0</v>
      </c>
      <c r="U11" t="s">
        <v>73</v>
      </c>
      <c r="V11">
        <v>0</v>
      </c>
      <c r="W11">
        <v>0</v>
      </c>
      <c r="X11">
        <v>3</v>
      </c>
      <c r="Y11">
        <v>3</v>
      </c>
      <c r="Z11">
        <v>0</v>
      </c>
      <c r="AA11">
        <v>0</v>
      </c>
      <c r="AB11">
        <v>0</v>
      </c>
      <c r="AC11" t="s">
        <v>73</v>
      </c>
      <c r="AD11">
        <v>0</v>
      </c>
      <c r="AE11">
        <v>0</v>
      </c>
      <c r="AF11">
        <v>0</v>
      </c>
      <c r="AG11">
        <v>0</v>
      </c>
      <c r="AH11">
        <v>0</v>
      </c>
      <c r="AI11">
        <v>50</v>
      </c>
      <c r="AJ11">
        <v>7</v>
      </c>
      <c r="AK11" t="s">
        <v>72</v>
      </c>
      <c r="AL11" t="s">
        <v>73</v>
      </c>
      <c r="AM11" s="42" t="s">
        <v>73</v>
      </c>
      <c r="AN11" t="s">
        <v>388</v>
      </c>
      <c r="AO11" s="56">
        <v>46017.422407407408</v>
      </c>
      <c r="AP11" s="56">
        <v>46017.380740740744</v>
      </c>
      <c r="AQ11" t="s">
        <v>73</v>
      </c>
      <c r="AR11" t="s">
        <v>73</v>
      </c>
      <c r="AS11" t="s">
        <v>73</v>
      </c>
      <c r="AT11" t="s">
        <v>73</v>
      </c>
      <c r="AU11" t="s">
        <v>73</v>
      </c>
      <c r="AV11" t="s">
        <v>73</v>
      </c>
      <c r="AW11">
        <v>0</v>
      </c>
      <c r="AX11" t="s">
        <v>73</v>
      </c>
      <c r="AY11" t="s">
        <v>158</v>
      </c>
      <c r="AZ11" t="s">
        <v>158</v>
      </c>
      <c r="BA11" t="s">
        <v>158</v>
      </c>
    </row>
    <row r="12" spans="1:53" ht="16" hidden="1" x14ac:dyDescent="0.2">
      <c r="A12" t="s">
        <v>208</v>
      </c>
      <c r="B12" t="s">
        <v>357</v>
      </c>
      <c r="C12" t="s">
        <v>358</v>
      </c>
      <c r="D12" t="s">
        <v>73</v>
      </c>
      <c r="E12" t="s">
        <v>72</v>
      </c>
      <c r="F12" t="s">
        <v>72</v>
      </c>
      <c r="G12" t="s">
        <v>73</v>
      </c>
      <c r="H12" t="s">
        <v>72</v>
      </c>
      <c r="I12">
        <v>10</v>
      </c>
      <c r="J12">
        <v>6</v>
      </c>
      <c r="K12"/>
      <c r="L12">
        <v>4</v>
      </c>
      <c r="M12"/>
      <c r="N12">
        <v>4</v>
      </c>
      <c r="O12"/>
      <c r="P12"/>
      <c r="Q12">
        <v>0</v>
      </c>
      <c r="R12">
        <v>0</v>
      </c>
      <c r="S12">
        <v>0</v>
      </c>
      <c r="T12">
        <v>0</v>
      </c>
      <c r="U12" t="s">
        <v>73</v>
      </c>
      <c r="V12">
        <v>2</v>
      </c>
      <c r="W12">
        <v>16</v>
      </c>
      <c r="X12">
        <v>16</v>
      </c>
      <c r="Y12">
        <v>11</v>
      </c>
      <c r="Z12">
        <v>0</v>
      </c>
      <c r="AA12">
        <v>2</v>
      </c>
      <c r="AB12">
        <v>3</v>
      </c>
      <c r="AC12" t="s">
        <v>73</v>
      </c>
      <c r="AD12">
        <v>0</v>
      </c>
      <c r="AE12">
        <v>0</v>
      </c>
      <c r="AF12">
        <v>0</v>
      </c>
      <c r="AG12">
        <v>0</v>
      </c>
      <c r="AH12">
        <v>0</v>
      </c>
      <c r="AI12">
        <v>120</v>
      </c>
      <c r="AJ12">
        <v>35</v>
      </c>
      <c r="AK12" t="s">
        <v>73</v>
      </c>
      <c r="AL12" t="s">
        <v>73</v>
      </c>
      <c r="AM12" s="42" t="s">
        <v>359</v>
      </c>
      <c r="AN12" t="s">
        <v>360</v>
      </c>
      <c r="AO12" s="56">
        <v>46014.652094907404</v>
      </c>
      <c r="AP12" s="56">
        <v>46015.316423611112</v>
      </c>
      <c r="AQ12" t="s">
        <v>73</v>
      </c>
      <c r="AR12" t="s">
        <v>73</v>
      </c>
      <c r="AS12" t="s">
        <v>73</v>
      </c>
      <c r="AT12" t="s">
        <v>73</v>
      </c>
      <c r="AU12" t="s">
        <v>73</v>
      </c>
      <c r="AV12" t="s">
        <v>73</v>
      </c>
      <c r="AW12">
        <v>0</v>
      </c>
      <c r="AX12" t="s">
        <v>212</v>
      </c>
      <c r="AY12" t="s">
        <v>366</v>
      </c>
      <c r="AZ12" t="s">
        <v>361</v>
      </c>
      <c r="BA12" t="s">
        <v>367</v>
      </c>
    </row>
    <row r="13" spans="1:53" ht="16" hidden="1" x14ac:dyDescent="0.2">
      <c r="A13" t="s">
        <v>208</v>
      </c>
      <c r="B13" t="s">
        <v>362</v>
      </c>
      <c r="C13" t="s">
        <v>363</v>
      </c>
      <c r="D13" t="s">
        <v>73</v>
      </c>
      <c r="E13" t="s">
        <v>72</v>
      </c>
      <c r="F13" t="s">
        <v>73</v>
      </c>
      <c r="G13" t="s">
        <v>73</v>
      </c>
      <c r="H13"/>
      <c r="I13"/>
      <c r="J13"/>
      <c r="K13"/>
      <c r="L13"/>
      <c r="M13"/>
      <c r="N13"/>
      <c r="O13"/>
      <c r="P13"/>
      <c r="Q13">
        <v>0</v>
      </c>
      <c r="R13">
        <v>0</v>
      </c>
      <c r="S13">
        <v>0</v>
      </c>
      <c r="T13">
        <v>0</v>
      </c>
      <c r="U13" t="s">
        <v>73</v>
      </c>
      <c r="V13">
        <v>0</v>
      </c>
      <c r="W13">
        <v>0</v>
      </c>
      <c r="X13">
        <v>0</v>
      </c>
      <c r="Y13">
        <v>0</v>
      </c>
      <c r="Z13">
        <v>0</v>
      </c>
      <c r="AA13">
        <v>0</v>
      </c>
      <c r="AB13">
        <v>0</v>
      </c>
      <c r="AC13" t="s">
        <v>73</v>
      </c>
      <c r="AD13">
        <v>0</v>
      </c>
      <c r="AE13">
        <v>0</v>
      </c>
      <c r="AF13">
        <v>0</v>
      </c>
      <c r="AG13">
        <v>0</v>
      </c>
      <c r="AH13">
        <v>0</v>
      </c>
      <c r="AI13">
        <v>35</v>
      </c>
      <c r="AJ13">
        <v>2</v>
      </c>
      <c r="AK13" t="s">
        <v>72</v>
      </c>
      <c r="AL13" t="s">
        <v>73</v>
      </c>
      <c r="AM13" s="42" t="s">
        <v>73</v>
      </c>
      <c r="AN13" t="s">
        <v>364</v>
      </c>
      <c r="AO13" s="56">
        <v>46013.909756944442</v>
      </c>
      <c r="AP13" s="56">
        <v>46013.868090277778</v>
      </c>
      <c r="AQ13" t="s">
        <v>73</v>
      </c>
      <c r="AR13" t="s">
        <v>73</v>
      </c>
      <c r="AS13" t="s">
        <v>73</v>
      </c>
      <c r="AT13" t="s">
        <v>73</v>
      </c>
      <c r="AU13" t="s">
        <v>73</v>
      </c>
      <c r="AV13" t="s">
        <v>73</v>
      </c>
      <c r="AW13">
        <v>0</v>
      </c>
      <c r="AX13" t="s">
        <v>73</v>
      </c>
      <c r="AY13" t="s">
        <v>158</v>
      </c>
      <c r="AZ13" t="s">
        <v>158</v>
      </c>
      <c r="BA13" t="s">
        <v>158</v>
      </c>
    </row>
    <row r="14" spans="1:53" ht="32" hidden="1" x14ac:dyDescent="0.2">
      <c r="A14" t="s">
        <v>208</v>
      </c>
      <c r="B14" t="s">
        <v>330</v>
      </c>
      <c r="C14" t="s">
        <v>331</v>
      </c>
      <c r="D14" t="s">
        <v>73</v>
      </c>
      <c r="E14" t="s">
        <v>72</v>
      </c>
      <c r="F14" t="s">
        <v>73</v>
      </c>
      <c r="G14" t="s">
        <v>72</v>
      </c>
      <c r="H14" t="s">
        <v>72</v>
      </c>
      <c r="I14">
        <v>4</v>
      </c>
      <c r="J14"/>
      <c r="K14"/>
      <c r="L14"/>
      <c r="M14"/>
      <c r="N14"/>
      <c r="O14"/>
      <c r="P14"/>
      <c r="Q14">
        <v>0</v>
      </c>
      <c r="R14">
        <v>0</v>
      </c>
      <c r="S14">
        <v>0</v>
      </c>
      <c r="T14">
        <v>0</v>
      </c>
      <c r="U14" t="s">
        <v>73</v>
      </c>
      <c r="V14">
        <v>6</v>
      </c>
      <c r="W14">
        <v>15</v>
      </c>
      <c r="X14">
        <v>2</v>
      </c>
      <c r="Y14">
        <v>1</v>
      </c>
      <c r="Z14">
        <v>0</v>
      </c>
      <c r="AA14">
        <v>0</v>
      </c>
      <c r="AB14">
        <v>1</v>
      </c>
      <c r="AC14" t="s">
        <v>73</v>
      </c>
      <c r="AD14">
        <v>0</v>
      </c>
      <c r="AE14">
        <v>0</v>
      </c>
      <c r="AF14">
        <v>0</v>
      </c>
      <c r="AG14">
        <v>0</v>
      </c>
      <c r="AH14">
        <v>0</v>
      </c>
      <c r="AI14">
        <v>45</v>
      </c>
      <c r="AJ14">
        <v>10</v>
      </c>
      <c r="AK14" t="s">
        <v>73</v>
      </c>
      <c r="AL14" t="s">
        <v>73</v>
      </c>
      <c r="AM14" s="42" t="s">
        <v>429</v>
      </c>
      <c r="AN14" t="s">
        <v>332</v>
      </c>
      <c r="AO14" s="56">
        <v>46013.663159722222</v>
      </c>
      <c r="AP14" s="56">
        <v>46020.814189814817</v>
      </c>
      <c r="AQ14" t="s">
        <v>73</v>
      </c>
      <c r="AR14" t="s">
        <v>73</v>
      </c>
      <c r="AS14" t="s">
        <v>73</v>
      </c>
      <c r="AT14" t="s">
        <v>73</v>
      </c>
      <c r="AU14" t="s">
        <v>73</v>
      </c>
      <c r="AV14" t="s">
        <v>73</v>
      </c>
      <c r="AW14">
        <v>0</v>
      </c>
      <c r="AX14" t="s">
        <v>75</v>
      </c>
      <c r="AY14" t="s">
        <v>333</v>
      </c>
      <c r="AZ14" t="s">
        <v>334</v>
      </c>
      <c r="BA14" t="s">
        <v>335</v>
      </c>
    </row>
    <row r="15" spans="1:53" ht="16" hidden="1" x14ac:dyDescent="0.2">
      <c r="A15" t="s">
        <v>208</v>
      </c>
      <c r="B15" t="s">
        <v>302</v>
      </c>
      <c r="C15" t="s">
        <v>303</v>
      </c>
      <c r="D15" t="s">
        <v>73</v>
      </c>
      <c r="E15" t="s">
        <v>72</v>
      </c>
      <c r="F15" t="s">
        <v>72</v>
      </c>
      <c r="G15" t="s">
        <v>73</v>
      </c>
      <c r="H15"/>
      <c r="I15">
        <v>10</v>
      </c>
      <c r="J15"/>
      <c r="K15"/>
      <c r="L15"/>
      <c r="M15"/>
      <c r="N15"/>
      <c r="O15"/>
      <c r="P15"/>
      <c r="Q15">
        <v>0</v>
      </c>
      <c r="R15">
        <v>0</v>
      </c>
      <c r="S15">
        <v>0</v>
      </c>
      <c r="T15">
        <v>0</v>
      </c>
      <c r="U15" t="s">
        <v>73</v>
      </c>
      <c r="V15">
        <v>0</v>
      </c>
      <c r="W15">
        <v>0</v>
      </c>
      <c r="X15">
        <v>5</v>
      </c>
      <c r="Y15">
        <v>5</v>
      </c>
      <c r="Z15">
        <v>0</v>
      </c>
      <c r="AA15">
        <v>0</v>
      </c>
      <c r="AB15">
        <v>0</v>
      </c>
      <c r="AC15" t="s">
        <v>73</v>
      </c>
      <c r="AD15">
        <v>0</v>
      </c>
      <c r="AE15">
        <v>0</v>
      </c>
      <c r="AF15">
        <v>0</v>
      </c>
      <c r="AG15">
        <v>0</v>
      </c>
      <c r="AH15">
        <v>0</v>
      </c>
      <c r="AI15">
        <v>65</v>
      </c>
      <c r="AJ15">
        <v>2</v>
      </c>
      <c r="AK15" t="s">
        <v>72</v>
      </c>
      <c r="AL15" t="s">
        <v>73</v>
      </c>
      <c r="AM15" s="42" t="s">
        <v>73</v>
      </c>
      <c r="AN15" t="s">
        <v>304</v>
      </c>
      <c r="AO15" s="56">
        <v>46011.04991898148</v>
      </c>
      <c r="AP15" s="56">
        <v>46044.741793981484</v>
      </c>
      <c r="AQ15" t="s">
        <v>73</v>
      </c>
      <c r="AR15" t="s">
        <v>73</v>
      </c>
      <c r="AS15" t="s">
        <v>73</v>
      </c>
      <c r="AT15" t="s">
        <v>73</v>
      </c>
      <c r="AU15" t="s">
        <v>73</v>
      </c>
      <c r="AV15" t="s">
        <v>73</v>
      </c>
      <c r="AW15">
        <v>0</v>
      </c>
      <c r="AX15" t="s">
        <v>73</v>
      </c>
      <c r="AY15" t="s">
        <v>158</v>
      </c>
      <c r="AZ15" t="s">
        <v>158</v>
      </c>
      <c r="BA15" t="s">
        <v>158</v>
      </c>
    </row>
    <row r="16" spans="1:53" ht="16" hidden="1" x14ac:dyDescent="0.2">
      <c r="A16" t="s">
        <v>208</v>
      </c>
      <c r="B16" t="s">
        <v>294</v>
      </c>
      <c r="C16" t="s">
        <v>295</v>
      </c>
      <c r="D16" t="s">
        <v>73</v>
      </c>
      <c r="E16" t="s">
        <v>72</v>
      </c>
      <c r="F16" t="s">
        <v>72</v>
      </c>
      <c r="G16" t="s">
        <v>73</v>
      </c>
      <c r="H16"/>
      <c r="I16">
        <v>5</v>
      </c>
      <c r="J16"/>
      <c r="K16"/>
      <c r="L16"/>
      <c r="M16"/>
      <c r="N16"/>
      <c r="O16"/>
      <c r="P16"/>
      <c r="Q16">
        <v>0</v>
      </c>
      <c r="R16">
        <v>0</v>
      </c>
      <c r="S16">
        <v>0</v>
      </c>
      <c r="T16">
        <v>0</v>
      </c>
      <c r="U16" t="s">
        <v>73</v>
      </c>
      <c r="V16">
        <v>0</v>
      </c>
      <c r="W16">
        <v>0</v>
      </c>
      <c r="X16">
        <v>0</v>
      </c>
      <c r="Y16">
        <v>0</v>
      </c>
      <c r="Z16">
        <v>0</v>
      </c>
      <c r="AA16">
        <v>0</v>
      </c>
      <c r="AB16">
        <v>0</v>
      </c>
      <c r="AC16" t="s">
        <v>73</v>
      </c>
      <c r="AD16">
        <v>0</v>
      </c>
      <c r="AE16">
        <v>0</v>
      </c>
      <c r="AF16">
        <v>0</v>
      </c>
      <c r="AG16">
        <v>0</v>
      </c>
      <c r="AH16">
        <v>0</v>
      </c>
      <c r="AI16">
        <v>20</v>
      </c>
      <c r="AJ16">
        <v>9</v>
      </c>
      <c r="AK16" t="s">
        <v>73</v>
      </c>
      <c r="AL16" t="s">
        <v>73</v>
      </c>
      <c r="AM16" s="42" t="s">
        <v>73</v>
      </c>
      <c r="AN16" t="s">
        <v>296</v>
      </c>
      <c r="AO16" s="56">
        <v>46007.917592592596</v>
      </c>
      <c r="AP16" s="56">
        <v>46007.875925925924</v>
      </c>
      <c r="AQ16" t="s">
        <v>73</v>
      </c>
      <c r="AR16" t="s">
        <v>73</v>
      </c>
      <c r="AS16" t="s">
        <v>73</v>
      </c>
      <c r="AT16" t="s">
        <v>73</v>
      </c>
      <c r="AU16" t="s">
        <v>73</v>
      </c>
      <c r="AV16" t="s">
        <v>73</v>
      </c>
      <c r="AW16">
        <v>0</v>
      </c>
      <c r="AX16" t="s">
        <v>73</v>
      </c>
      <c r="AY16" t="s">
        <v>158</v>
      </c>
      <c r="AZ16" t="s">
        <v>158</v>
      </c>
      <c r="BA16" t="s">
        <v>158</v>
      </c>
    </row>
    <row r="17" spans="1:53" ht="16" hidden="1" x14ac:dyDescent="0.2">
      <c r="A17" t="s">
        <v>208</v>
      </c>
      <c r="B17" t="s">
        <v>260</v>
      </c>
      <c r="C17" t="s">
        <v>261</v>
      </c>
      <c r="D17" t="s">
        <v>73</v>
      </c>
      <c r="E17" t="s">
        <v>72</v>
      </c>
      <c r="F17" t="s">
        <v>72</v>
      </c>
      <c r="G17" t="s">
        <v>73</v>
      </c>
      <c r="H17" t="s">
        <v>72</v>
      </c>
      <c r="I17">
        <v>5</v>
      </c>
      <c r="J17">
        <v>6</v>
      </c>
      <c r="K17"/>
      <c r="L17"/>
      <c r="M17"/>
      <c r="N17"/>
      <c r="O17"/>
      <c r="P17"/>
      <c r="Q17">
        <v>0</v>
      </c>
      <c r="R17">
        <v>0</v>
      </c>
      <c r="S17">
        <v>0</v>
      </c>
      <c r="T17">
        <v>0</v>
      </c>
      <c r="U17" t="s">
        <v>73</v>
      </c>
      <c r="V17">
        <v>3</v>
      </c>
      <c r="W17">
        <v>18</v>
      </c>
      <c r="X17">
        <v>3</v>
      </c>
      <c r="Y17">
        <v>3</v>
      </c>
      <c r="Z17">
        <v>0</v>
      </c>
      <c r="AA17">
        <v>0</v>
      </c>
      <c r="AB17">
        <v>0</v>
      </c>
      <c r="AC17" t="s">
        <v>73</v>
      </c>
      <c r="AD17">
        <v>0</v>
      </c>
      <c r="AE17">
        <v>0</v>
      </c>
      <c r="AF17">
        <v>0</v>
      </c>
      <c r="AG17">
        <v>0</v>
      </c>
      <c r="AH17">
        <v>0</v>
      </c>
      <c r="AI17">
        <v>105</v>
      </c>
      <c r="AJ17">
        <v>30</v>
      </c>
      <c r="AK17" t="s">
        <v>72</v>
      </c>
      <c r="AL17" t="s">
        <v>73</v>
      </c>
      <c r="AM17" s="42" t="s">
        <v>73</v>
      </c>
      <c r="AN17" t="s">
        <v>262</v>
      </c>
      <c r="AO17" s="56">
        <v>46006.741284722222</v>
      </c>
      <c r="AP17" s="56">
        <v>46006.720034722224</v>
      </c>
      <c r="AQ17" t="s">
        <v>73</v>
      </c>
      <c r="AR17" t="s">
        <v>73</v>
      </c>
      <c r="AS17" t="s">
        <v>73</v>
      </c>
      <c r="AT17" t="s">
        <v>73</v>
      </c>
      <c r="AU17" t="s">
        <v>73</v>
      </c>
      <c r="AV17" t="s">
        <v>73</v>
      </c>
      <c r="AW17">
        <v>0</v>
      </c>
      <c r="AX17" t="s">
        <v>75</v>
      </c>
      <c r="AY17" t="s">
        <v>263</v>
      </c>
      <c r="AZ17" t="s">
        <v>264</v>
      </c>
      <c r="BA17" t="s">
        <v>265</v>
      </c>
    </row>
    <row r="18" spans="1:53" ht="16" hidden="1" x14ac:dyDescent="0.2">
      <c r="A18" t="s">
        <v>208</v>
      </c>
      <c r="B18" t="s">
        <v>266</v>
      </c>
      <c r="C18" t="s">
        <v>267</v>
      </c>
      <c r="D18" t="s">
        <v>73</v>
      </c>
      <c r="E18" t="s">
        <v>72</v>
      </c>
      <c r="F18" t="s">
        <v>72</v>
      </c>
      <c r="G18" t="s">
        <v>73</v>
      </c>
      <c r="H18"/>
      <c r="I18">
        <v>4</v>
      </c>
      <c r="J18"/>
      <c r="K18"/>
      <c r="L18"/>
      <c r="M18"/>
      <c r="N18">
        <v>4</v>
      </c>
      <c r="O18"/>
      <c r="P18"/>
      <c r="Q18">
        <v>0</v>
      </c>
      <c r="R18">
        <v>0</v>
      </c>
      <c r="S18">
        <v>0</v>
      </c>
      <c r="T18">
        <v>0</v>
      </c>
      <c r="U18" t="s">
        <v>73</v>
      </c>
      <c r="V18">
        <v>0</v>
      </c>
      <c r="W18">
        <v>0</v>
      </c>
      <c r="X18">
        <v>2</v>
      </c>
      <c r="Y18">
        <v>2</v>
      </c>
      <c r="Z18">
        <v>0</v>
      </c>
      <c r="AA18">
        <v>0</v>
      </c>
      <c r="AB18">
        <v>0</v>
      </c>
      <c r="AC18" t="s">
        <v>73</v>
      </c>
      <c r="AD18">
        <v>0</v>
      </c>
      <c r="AE18">
        <v>0</v>
      </c>
      <c r="AF18">
        <v>0</v>
      </c>
      <c r="AG18">
        <v>0</v>
      </c>
      <c r="AH18">
        <v>0</v>
      </c>
      <c r="AI18">
        <v>25</v>
      </c>
      <c r="AJ18">
        <v>0</v>
      </c>
      <c r="AK18" t="s">
        <v>73</v>
      </c>
      <c r="AL18" t="s">
        <v>73</v>
      </c>
      <c r="AM18" s="42" t="s">
        <v>268</v>
      </c>
      <c r="AN18" t="s">
        <v>269</v>
      </c>
      <c r="AO18" s="56">
        <v>46005.913182870368</v>
      </c>
      <c r="AP18" s="56">
        <v>46005.871516203704</v>
      </c>
      <c r="AQ18" t="s">
        <v>73</v>
      </c>
      <c r="AR18" t="s">
        <v>73</v>
      </c>
      <c r="AS18" t="s">
        <v>73</v>
      </c>
      <c r="AT18" t="s">
        <v>73</v>
      </c>
      <c r="AU18" t="s">
        <v>73</v>
      </c>
      <c r="AV18" t="s">
        <v>73</v>
      </c>
      <c r="AW18">
        <v>0</v>
      </c>
      <c r="AX18" t="s">
        <v>73</v>
      </c>
      <c r="AY18" t="s">
        <v>158</v>
      </c>
      <c r="AZ18" t="s">
        <v>158</v>
      </c>
      <c r="BA18" t="s">
        <v>158</v>
      </c>
    </row>
    <row r="19" spans="1:53" ht="16" hidden="1" x14ac:dyDescent="0.2">
      <c r="A19" t="s">
        <v>208</v>
      </c>
      <c r="B19" t="s">
        <v>232</v>
      </c>
      <c r="C19" t="s">
        <v>233</v>
      </c>
      <c r="D19" t="s">
        <v>73</v>
      </c>
      <c r="E19" t="s">
        <v>72</v>
      </c>
      <c r="F19" t="s">
        <v>73</v>
      </c>
      <c r="G19" t="s">
        <v>72</v>
      </c>
      <c r="H19" t="s">
        <v>72</v>
      </c>
      <c r="I19">
        <v>6</v>
      </c>
      <c r="J19"/>
      <c r="K19"/>
      <c r="L19"/>
      <c r="M19"/>
      <c r="N19"/>
      <c r="O19"/>
      <c r="P19"/>
      <c r="Q19">
        <v>0</v>
      </c>
      <c r="R19">
        <v>0</v>
      </c>
      <c r="S19">
        <v>0</v>
      </c>
      <c r="T19">
        <v>0</v>
      </c>
      <c r="U19" t="s">
        <v>73</v>
      </c>
      <c r="V19">
        <v>5</v>
      </c>
      <c r="W19">
        <v>9</v>
      </c>
      <c r="X19">
        <v>2</v>
      </c>
      <c r="Y19">
        <v>2</v>
      </c>
      <c r="Z19">
        <v>0</v>
      </c>
      <c r="AA19">
        <v>0</v>
      </c>
      <c r="AB19">
        <v>0</v>
      </c>
      <c r="AC19" t="s">
        <v>73</v>
      </c>
      <c r="AD19">
        <v>0</v>
      </c>
      <c r="AE19">
        <v>0</v>
      </c>
      <c r="AF19">
        <v>0</v>
      </c>
      <c r="AG19">
        <v>0</v>
      </c>
      <c r="AH19">
        <v>0</v>
      </c>
      <c r="AI19">
        <v>60</v>
      </c>
      <c r="AJ19">
        <v>15</v>
      </c>
      <c r="AK19" t="s">
        <v>72</v>
      </c>
      <c r="AL19" t="s">
        <v>73</v>
      </c>
      <c r="AM19" s="42" t="s">
        <v>73</v>
      </c>
      <c r="AN19" t="s">
        <v>234</v>
      </c>
      <c r="AO19" s="56">
        <v>46003.884305555555</v>
      </c>
      <c r="AP19" s="56">
        <v>46044.742800925924</v>
      </c>
      <c r="AQ19" t="s">
        <v>73</v>
      </c>
      <c r="AR19" t="s">
        <v>73</v>
      </c>
      <c r="AS19" t="s">
        <v>73</v>
      </c>
      <c r="AT19" t="s">
        <v>73</v>
      </c>
      <c r="AU19" t="s">
        <v>73</v>
      </c>
      <c r="AV19" t="s">
        <v>73</v>
      </c>
      <c r="AW19">
        <v>0</v>
      </c>
      <c r="AX19" t="s">
        <v>75</v>
      </c>
      <c r="AY19" t="s">
        <v>235</v>
      </c>
      <c r="AZ19" t="s">
        <v>214</v>
      </c>
      <c r="BA19" t="s">
        <v>236</v>
      </c>
    </row>
    <row r="20" spans="1:53" ht="16" hidden="1" x14ac:dyDescent="0.2">
      <c r="A20" t="s">
        <v>208</v>
      </c>
      <c r="B20" t="s">
        <v>209</v>
      </c>
      <c r="C20" t="s">
        <v>210</v>
      </c>
      <c r="D20" t="s">
        <v>73</v>
      </c>
      <c r="E20" t="s">
        <v>72</v>
      </c>
      <c r="F20" t="s">
        <v>72</v>
      </c>
      <c r="G20" t="s">
        <v>72</v>
      </c>
      <c r="H20" t="s">
        <v>72</v>
      </c>
      <c r="I20">
        <v>8</v>
      </c>
      <c r="J20">
        <v>3</v>
      </c>
      <c r="K20"/>
      <c r="L20"/>
      <c r="M20"/>
      <c r="N20">
        <v>4</v>
      </c>
      <c r="O20"/>
      <c r="P20"/>
      <c r="Q20">
        <v>3</v>
      </c>
      <c r="R20">
        <v>1</v>
      </c>
      <c r="S20">
        <v>2</v>
      </c>
      <c r="T20">
        <v>0</v>
      </c>
      <c r="U20" t="s">
        <v>73</v>
      </c>
      <c r="V20">
        <v>5</v>
      </c>
      <c r="W20">
        <v>20</v>
      </c>
      <c r="X20">
        <v>7</v>
      </c>
      <c r="Y20">
        <v>6</v>
      </c>
      <c r="Z20">
        <v>1</v>
      </c>
      <c r="AA20">
        <v>0</v>
      </c>
      <c r="AB20">
        <v>0</v>
      </c>
      <c r="AC20" t="s">
        <v>73</v>
      </c>
      <c r="AD20">
        <v>0</v>
      </c>
      <c r="AE20">
        <v>0</v>
      </c>
      <c r="AF20">
        <v>0</v>
      </c>
      <c r="AG20">
        <v>0</v>
      </c>
      <c r="AH20">
        <v>0</v>
      </c>
      <c r="AI20">
        <v>75</v>
      </c>
      <c r="AJ20">
        <v>27</v>
      </c>
      <c r="AK20" t="s">
        <v>72</v>
      </c>
      <c r="AL20" t="s">
        <v>73</v>
      </c>
      <c r="AM20" s="42" t="s">
        <v>73</v>
      </c>
      <c r="AN20" t="s">
        <v>211</v>
      </c>
      <c r="AO20" s="56">
        <v>46002.935590277775</v>
      </c>
      <c r="AP20" s="56">
        <v>46018.824548611112</v>
      </c>
      <c r="AQ20" t="s">
        <v>73</v>
      </c>
      <c r="AR20" t="s">
        <v>73</v>
      </c>
      <c r="AS20" t="s">
        <v>73</v>
      </c>
      <c r="AT20" t="s">
        <v>73</v>
      </c>
      <c r="AU20" t="s">
        <v>73</v>
      </c>
      <c r="AV20" t="s">
        <v>73</v>
      </c>
      <c r="AW20">
        <v>0</v>
      </c>
      <c r="AX20" t="s">
        <v>75</v>
      </c>
      <c r="AY20" t="s">
        <v>213</v>
      </c>
      <c r="AZ20" t="s">
        <v>214</v>
      </c>
      <c r="BA20" t="s">
        <v>215</v>
      </c>
    </row>
    <row r="21" spans="1:53" x14ac:dyDescent="0.2">
      <c r="A21" t="s">
        <v>79</v>
      </c>
      <c r="C21">
        <f>SUBTOTAL(103,KDM[Naam vereniging])</f>
        <v>0</v>
      </c>
      <c r="D21">
        <f>COUNTIF(KDM[Delegatie],"x")</f>
        <v>0</v>
      </c>
      <c r="E21" s="7">
        <f>COUNTIF(KDM[Muziekkorps tijdens mars en defilé],"x")</f>
        <v>13</v>
      </c>
      <c r="F21" s="7">
        <f>COUNTIF(KDM[Deelname jeugdkoningschieten],"x")</f>
        <v>9</v>
      </c>
      <c r="G21" s="7">
        <f>COUNTIF(KDM[Maj. Senioren jureren bij mars],"x")</f>
        <v>4</v>
      </c>
      <c r="H21" s="7">
        <f>COUNTIF(KDM[Maj. Jeugd jureren bij mars], "x")</f>
        <v>6</v>
      </c>
      <c r="I21">
        <f>SUBTOTAL(109,KDM[Korps senioren])</f>
        <v>0</v>
      </c>
      <c r="J21">
        <f>SUBTOTAL(109,KDM[Junioren korps 1])</f>
        <v>0</v>
      </c>
      <c r="K21">
        <f>SUBTOTAL(109,KDM[Junioren korps 2])</f>
        <v>0</v>
      </c>
      <c r="L21">
        <f>SUBTOTAL(109,KDM[Aspiranten korps 1])</f>
        <v>0</v>
      </c>
      <c r="M21">
        <f>SUBTOTAL(109,KDM[Aspiranten korps 2])</f>
        <v>0</v>
      </c>
      <c r="N21">
        <f>SUBTOTAL(109,KDM[Acrobatisch senioren])</f>
        <v>0</v>
      </c>
      <c r="O21">
        <f>SUBTOTAL(109,KDM[Acrobatisch junioren])</f>
        <v>0</v>
      </c>
      <c r="P21">
        <f>SUBTOTAL(109,KDM[Acrobatisch aspiranten])</f>
        <v>0</v>
      </c>
      <c r="Q21">
        <f>SUBTOTAL(109,KDM[Opgeven vendeliers ind.])</f>
        <v>0</v>
      </c>
      <c r="R21">
        <f>SUBTOTAL(109,KDM[Acrob. senioren indiv.])</f>
        <v>0</v>
      </c>
      <c r="S21">
        <f>SUBTOTAL(109,KDM[Acrob. junioren indiv.])</f>
        <v>0</v>
      </c>
      <c r="T21">
        <f>SUBTOTAL(109,KDM[Acrob. aspiranten indiv.])</f>
        <v>0</v>
      </c>
      <c r="U21" s="7">
        <f>COUNTIF(KDM[Deelname hoofdkorps], "x")</f>
        <v>0</v>
      </c>
      <c r="V21">
        <f>SUBTOTAL(109,KDM[Groepen, teams, ensembles en duo''s])</f>
        <v>0</v>
      </c>
      <c r="W21">
        <f>SUBTOTAL(109,KDM[Aantal opgegeven majorettes])</f>
        <v>0</v>
      </c>
      <c r="X21">
        <f>SUBTOTAL(109,KDM[Opgeven bielemannen])</f>
        <v>0</v>
      </c>
      <c r="Y21">
        <f>SUBTOTAL(109,KDM[Senioren])</f>
        <v>0</v>
      </c>
      <c r="Z21">
        <f>SUBTOTAL(109,KDM[Jong Volwassene])</f>
        <v>0</v>
      </c>
      <c r="AA21">
        <f>SUBTOTAL(109,KDM[Junioren])</f>
        <v>0</v>
      </c>
      <c r="AB21">
        <f>SUBTOTAL(109,KDM[Aspiranten])</f>
        <v>0</v>
      </c>
      <c r="AC21"/>
      <c r="AD21">
        <f>SUBTOTAL(109,KDM[Aantal luchtgeweerschutters])</f>
        <v>0</v>
      </c>
      <c r="AE21">
        <f>SUBTOTAL(109,KDM[Aantal luchtpistoolschutters])</f>
        <v>0</v>
      </c>
      <c r="AF21">
        <f>SUBTOTAL(109,KDM[Aantal handboogschutters])</f>
        <v>0</v>
      </c>
      <c r="AG21">
        <f>SUBTOTAL(109,KDM[Aantal kruisboogschutters])</f>
        <v>0</v>
      </c>
      <c r="AH21">
        <f>SUBTOTAL(109,KDM[(Aantal jeugdkorpsen])</f>
        <v>0</v>
      </c>
      <c r="AI21">
        <f>SUBTOTAL(109,KDM[Totaal aantal deelnemers])</f>
        <v>0</v>
      </c>
      <c r="AJ21">
        <f>SUBTOTAL(109,KDM[Waarvan aantal jeugd (t/m 15 jaar)])</f>
        <v>0</v>
      </c>
      <c r="AK21"/>
      <c r="AL21"/>
      <c r="AM21" s="42"/>
      <c r="AN21"/>
      <c r="AO21"/>
      <c r="AP21"/>
      <c r="AQ21"/>
      <c r="AR21"/>
      <c r="AW21"/>
      <c r="AX21"/>
      <c r="AY21"/>
    </row>
    <row r="23" spans="1:53" x14ac:dyDescent="0.2">
      <c r="C23" s="88"/>
    </row>
  </sheetData>
  <mergeCells count="13">
    <mergeCell ref="AX4:BA5"/>
    <mergeCell ref="A1:BA1"/>
    <mergeCell ref="A2:BA2"/>
    <mergeCell ref="X4:AB5"/>
    <mergeCell ref="AC4:AC5"/>
    <mergeCell ref="AD4:AH5"/>
    <mergeCell ref="AI4:AQ5"/>
    <mergeCell ref="AR4:AW5"/>
    <mergeCell ref="D4:H5"/>
    <mergeCell ref="I5:M5"/>
    <mergeCell ref="N5:P5"/>
    <mergeCell ref="Q5:T5"/>
    <mergeCell ref="J4:T4"/>
  </mergeCells>
  <phoneticPr fontId="2" type="noConversion"/>
  <pageMargins left="0.7" right="0.7" top="0.75" bottom="0.75" header="0.3" footer="0.3"/>
  <pageSetup orientation="portrait" horizont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C07CA-0AAA-4DAD-9D01-38C57DE0F2FF}">
  <dimension ref="A1:CS28"/>
  <sheetViews>
    <sheetView zoomScale="110" zoomScaleNormal="110" workbookViewId="0">
      <pane xSplit="3" ySplit="6" topLeftCell="F8" activePane="bottomRight" state="frozen"/>
      <selection pane="topRight" activeCell="D1" sqref="D1"/>
      <selection pane="bottomLeft" activeCell="A7" sqref="A7"/>
      <selection pane="bottomRight" activeCell="C10" sqref="C10"/>
    </sheetView>
  </sheetViews>
  <sheetFormatPr baseColWidth="10" defaultColWidth="6" defaultRowHeight="15" x14ac:dyDescent="0.2"/>
  <cols>
    <col min="1" max="1" width="11.5" bestFit="1" customWidth="1"/>
    <col min="2" max="2" width="9.1640625" bestFit="1" customWidth="1"/>
    <col min="3" max="3" width="58.83203125" bestFit="1" customWidth="1"/>
    <col min="4" max="5" width="3.6640625" style="1" hidden="1" customWidth="1"/>
    <col min="6" max="6" width="3.6640625" style="1" bestFit="1" customWidth="1"/>
    <col min="7" max="34" width="3.6640625" style="1" hidden="1" customWidth="1"/>
    <col min="35" max="35" width="4.1640625" style="1" bestFit="1" customWidth="1"/>
    <col min="36" max="38" width="3.6640625" style="1" bestFit="1" customWidth="1"/>
    <col min="39" max="39" width="59.5" style="1" bestFit="1" customWidth="1"/>
    <col min="40" max="40" width="5.1640625" style="1" bestFit="1" customWidth="1"/>
    <col min="41" max="42" width="15" style="1" bestFit="1" customWidth="1"/>
    <col min="43" max="50" width="3.6640625" style="1" hidden="1" customWidth="1"/>
    <col min="51" max="53" width="6.1640625" style="1" hidden="1" customWidth="1"/>
    <col min="54" max="55" width="6" style="1"/>
    <col min="56" max="56" width="6" style="42"/>
    <col min="61" max="61" width="6" style="44"/>
    <col min="62" max="62" width="6" style="1"/>
    <col min="88" max="94" width="6" style="1"/>
  </cols>
  <sheetData>
    <row r="1" spans="1:97" ht="27" customHeight="1" x14ac:dyDescent="0.2">
      <c r="A1" s="108" t="s">
        <v>83</v>
      </c>
      <c r="B1" s="108"/>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08"/>
      <c r="AD1" s="108"/>
      <c r="AE1" s="108"/>
      <c r="AF1" s="108"/>
      <c r="AG1" s="108"/>
      <c r="AH1" s="108"/>
      <c r="AI1" s="108"/>
      <c r="AJ1" s="108"/>
      <c r="AK1" s="108"/>
      <c r="AL1" s="108"/>
      <c r="AM1" s="108"/>
      <c r="AN1" s="108"/>
      <c r="AO1" s="108"/>
      <c r="AP1" s="108"/>
      <c r="AQ1" s="108"/>
      <c r="AR1" s="108"/>
      <c r="AS1" s="108"/>
      <c r="AT1" s="108"/>
      <c r="AU1" s="108"/>
      <c r="AV1" s="108"/>
      <c r="AW1" s="108"/>
      <c r="AX1" s="108"/>
      <c r="AY1" s="108"/>
      <c r="AZ1" s="108"/>
      <c r="BA1" s="108"/>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49"/>
      <c r="CK1" s="49"/>
      <c r="CL1" s="49"/>
      <c r="CM1" s="49"/>
      <c r="CN1" s="49"/>
      <c r="CO1" s="49"/>
      <c r="CP1" s="49"/>
    </row>
    <row r="2" spans="1:97" ht="20" thickBot="1" x14ac:dyDescent="0.3">
      <c r="A2" s="109" t="s">
        <v>172</v>
      </c>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c r="AV2" s="109"/>
      <c r="AW2" s="109"/>
      <c r="AX2" s="109"/>
      <c r="AY2" s="109"/>
      <c r="AZ2" s="109"/>
      <c r="BA2" s="109"/>
      <c r="BB2" s="76"/>
      <c r="BC2" s="76"/>
      <c r="BD2" s="76"/>
      <c r="BE2" s="76"/>
      <c r="BF2" s="76"/>
      <c r="BG2" s="76"/>
      <c r="BH2" s="76"/>
      <c r="BI2" s="76"/>
      <c r="BJ2" s="76"/>
      <c r="BK2" s="76"/>
      <c r="BL2" s="76"/>
      <c r="BM2" s="76"/>
      <c r="BN2" s="76"/>
      <c r="BO2" s="76"/>
      <c r="BP2" s="76"/>
      <c r="BQ2" s="76"/>
      <c r="BR2" s="76"/>
      <c r="BS2" s="76"/>
      <c r="BT2" s="76"/>
      <c r="BU2" s="76"/>
      <c r="BV2" s="76"/>
      <c r="BW2" s="76"/>
      <c r="BX2" s="76"/>
      <c r="BY2" s="76"/>
      <c r="BZ2" s="76"/>
      <c r="CA2" s="76"/>
      <c r="CB2" s="76"/>
      <c r="CC2" s="76"/>
      <c r="CD2" s="76"/>
      <c r="CE2" s="76"/>
      <c r="CF2" s="76"/>
      <c r="CG2" s="76"/>
      <c r="CH2" s="76"/>
      <c r="CI2" s="76"/>
      <c r="CJ2" s="50"/>
      <c r="CK2" s="50"/>
      <c r="CL2" s="50"/>
      <c r="CM2" s="50"/>
      <c r="CN2" s="50"/>
      <c r="CO2" s="50"/>
      <c r="CP2" s="50"/>
    </row>
    <row r="3" spans="1:97" ht="33" customHeight="1" thickBot="1" x14ac:dyDescent="0.25">
      <c r="A3" s="67"/>
      <c r="B3" s="68"/>
      <c r="C3" s="69"/>
      <c r="D3" s="95" t="s">
        <v>1</v>
      </c>
      <c r="E3" s="96"/>
      <c r="F3" s="96"/>
      <c r="G3" s="96"/>
      <c r="H3" s="97"/>
      <c r="I3" s="72"/>
      <c r="J3" s="102" t="s">
        <v>2</v>
      </c>
      <c r="K3" s="102"/>
      <c r="L3" s="102"/>
      <c r="M3" s="102"/>
      <c r="N3" s="102"/>
      <c r="O3" s="102"/>
      <c r="P3" s="102"/>
      <c r="Q3" s="102"/>
      <c r="R3" s="102"/>
      <c r="S3" s="102"/>
      <c r="T3" s="103"/>
      <c r="U3" s="17" t="s">
        <v>3</v>
      </c>
      <c r="V3" s="11" t="s">
        <v>150</v>
      </c>
      <c r="W3" s="13"/>
      <c r="X3" s="95" t="s">
        <v>5</v>
      </c>
      <c r="Y3" s="96"/>
      <c r="Z3" s="96"/>
      <c r="AA3" s="96"/>
      <c r="AB3" s="97"/>
      <c r="AC3" s="106" t="s">
        <v>151</v>
      </c>
      <c r="AD3" s="95" t="s">
        <v>7</v>
      </c>
      <c r="AE3" s="96"/>
      <c r="AF3" s="96"/>
      <c r="AG3" s="96"/>
      <c r="AH3" s="97"/>
      <c r="AI3" s="95" t="s">
        <v>8</v>
      </c>
      <c r="AJ3" s="96"/>
      <c r="AK3" s="96"/>
      <c r="AL3" s="96"/>
      <c r="AM3" s="96"/>
      <c r="AN3" s="96"/>
      <c r="AO3" s="96"/>
      <c r="AP3" s="96"/>
      <c r="AQ3" s="97"/>
      <c r="AR3" s="89" t="s">
        <v>9</v>
      </c>
      <c r="AS3" s="90"/>
      <c r="AT3" s="90"/>
      <c r="AU3" s="90"/>
      <c r="AV3" s="90"/>
      <c r="AW3" s="91"/>
      <c r="AX3" s="95" t="s">
        <v>152</v>
      </c>
      <c r="AY3" s="96"/>
      <c r="AZ3" s="96"/>
      <c r="BA3" s="97"/>
      <c r="BB3"/>
      <c r="BC3"/>
      <c r="BD3"/>
      <c r="BI3"/>
      <c r="BJ3"/>
      <c r="BW3" s="1"/>
      <c r="BX3" s="24"/>
      <c r="BY3" s="24"/>
      <c r="BZ3" s="24"/>
      <c r="CA3" s="24"/>
      <c r="CB3" s="24"/>
      <c r="CC3" s="24"/>
      <c r="CJ3"/>
      <c r="CK3"/>
      <c r="CL3"/>
      <c r="CM3"/>
      <c r="CN3"/>
      <c r="CO3"/>
      <c r="CP3"/>
    </row>
    <row r="4" spans="1:97" ht="16" thickBot="1" x14ac:dyDescent="0.25">
      <c r="A4" s="70"/>
      <c r="B4" s="71"/>
      <c r="C4" s="61"/>
      <c r="D4" s="98"/>
      <c r="E4" s="99"/>
      <c r="F4" s="99"/>
      <c r="G4" s="99"/>
      <c r="H4" s="100"/>
      <c r="I4" s="101" t="s">
        <v>11</v>
      </c>
      <c r="J4" s="104"/>
      <c r="K4" s="104"/>
      <c r="L4" s="104"/>
      <c r="M4" s="105"/>
      <c r="N4" s="101" t="s">
        <v>87</v>
      </c>
      <c r="O4" s="102"/>
      <c r="P4" s="103"/>
      <c r="Q4" s="101" t="s">
        <v>14</v>
      </c>
      <c r="R4" s="102"/>
      <c r="S4" s="102"/>
      <c r="T4" s="102"/>
      <c r="U4" s="18"/>
      <c r="V4" s="14"/>
      <c r="W4" s="16"/>
      <c r="X4" s="98"/>
      <c r="Y4" s="99"/>
      <c r="Z4" s="99"/>
      <c r="AA4" s="99"/>
      <c r="AB4" s="100"/>
      <c r="AC4" s="107"/>
      <c r="AD4" s="98"/>
      <c r="AE4" s="99"/>
      <c r="AF4" s="99"/>
      <c r="AG4" s="99"/>
      <c r="AH4" s="100"/>
      <c r="AI4" s="98"/>
      <c r="AJ4" s="99"/>
      <c r="AK4" s="99"/>
      <c r="AL4" s="99"/>
      <c r="AM4" s="99"/>
      <c r="AN4" s="99"/>
      <c r="AO4" s="99"/>
      <c r="AP4" s="99"/>
      <c r="AQ4" s="100"/>
      <c r="AR4" s="92"/>
      <c r="AS4" s="93"/>
      <c r="AT4" s="93"/>
      <c r="AU4" s="93"/>
      <c r="AV4" s="93"/>
      <c r="AW4" s="94"/>
      <c r="AX4" s="98"/>
      <c r="AY4" s="99"/>
      <c r="AZ4" s="99"/>
      <c r="BA4" s="100"/>
      <c r="BB4"/>
      <c r="BC4"/>
      <c r="BD4"/>
      <c r="BI4"/>
      <c r="BJ4"/>
      <c r="BW4" s="1"/>
      <c r="BX4" s="24"/>
      <c r="BY4" s="24"/>
      <c r="BZ4" s="24"/>
      <c r="CA4" s="24"/>
      <c r="CB4" s="24"/>
      <c r="CC4" s="24"/>
      <c r="CJ4"/>
      <c r="CK4"/>
      <c r="CL4"/>
      <c r="CM4"/>
      <c r="CN4"/>
      <c r="CO4"/>
      <c r="CP4"/>
    </row>
    <row r="5" spans="1:97" ht="6.75" hidden="1" customHeight="1" x14ac:dyDescent="0.2">
      <c r="BD5" s="44"/>
      <c r="BE5" s="1"/>
      <c r="BF5" s="1"/>
      <c r="BG5" s="1"/>
      <c r="BH5" s="1"/>
      <c r="BK5" s="1"/>
      <c r="BL5" s="1"/>
      <c r="BM5" s="1"/>
      <c r="BN5" s="1"/>
      <c r="BO5" s="1"/>
      <c r="BP5" s="1"/>
      <c r="BQ5" s="1"/>
      <c r="BR5" s="1"/>
      <c r="BS5" s="1"/>
      <c r="BT5" s="1"/>
      <c r="BU5" s="1"/>
      <c r="BV5" s="1"/>
      <c r="BW5" s="1"/>
      <c r="BX5" s="1"/>
      <c r="BY5" s="1"/>
      <c r="BZ5" s="1"/>
      <c r="CA5" s="1"/>
      <c r="CB5" s="1"/>
      <c r="CC5" s="1"/>
      <c r="CD5" s="1"/>
      <c r="CE5" s="1"/>
      <c r="CF5" s="1"/>
      <c r="CG5" s="1"/>
      <c r="CH5" s="1"/>
      <c r="CI5" s="1"/>
      <c r="CQ5" s="1"/>
      <c r="CR5" s="1"/>
      <c r="CS5" s="1"/>
    </row>
    <row r="6" spans="1:97" s="74" customFormat="1" ht="278" thickBot="1" x14ac:dyDescent="0.25">
      <c r="A6" s="73" t="s">
        <v>17</v>
      </c>
      <c r="B6" s="73" t="s">
        <v>149</v>
      </c>
      <c r="C6" s="73" t="s">
        <v>19</v>
      </c>
      <c r="D6" s="77" t="s">
        <v>20</v>
      </c>
      <c r="E6" s="78" t="s">
        <v>141</v>
      </c>
      <c r="F6" s="78" t="s">
        <v>142</v>
      </c>
      <c r="G6" s="78" t="s">
        <v>23</v>
      </c>
      <c r="H6" s="79" t="s">
        <v>24</v>
      </c>
      <c r="I6" s="77" t="s">
        <v>25</v>
      </c>
      <c r="J6" s="78" t="s">
        <v>121</v>
      </c>
      <c r="K6" s="78" t="s">
        <v>122</v>
      </c>
      <c r="L6" s="78" t="s">
        <v>123</v>
      </c>
      <c r="M6" s="78" t="s">
        <v>124</v>
      </c>
      <c r="N6" s="78" t="s">
        <v>26</v>
      </c>
      <c r="O6" s="78" t="s">
        <v>27</v>
      </c>
      <c r="P6" s="78" t="s">
        <v>28</v>
      </c>
      <c r="Q6" s="78" t="s">
        <v>146</v>
      </c>
      <c r="R6" s="78" t="s">
        <v>133</v>
      </c>
      <c r="S6" s="78" t="s">
        <v>134</v>
      </c>
      <c r="T6" s="79" t="s">
        <v>135</v>
      </c>
      <c r="U6" s="80" t="s">
        <v>144</v>
      </c>
      <c r="V6" s="77" t="s">
        <v>105</v>
      </c>
      <c r="W6" s="79" t="s">
        <v>71</v>
      </c>
      <c r="X6" s="77" t="s">
        <v>147</v>
      </c>
      <c r="Y6" s="78" t="s">
        <v>38</v>
      </c>
      <c r="Z6" s="78" t="s">
        <v>140</v>
      </c>
      <c r="AA6" s="78" t="s">
        <v>39</v>
      </c>
      <c r="AB6" s="79" t="s">
        <v>40</v>
      </c>
      <c r="AC6" s="80" t="s">
        <v>143</v>
      </c>
      <c r="AD6" s="77" t="s">
        <v>117</v>
      </c>
      <c r="AE6" s="78" t="s">
        <v>118</v>
      </c>
      <c r="AF6" s="78" t="s">
        <v>119</v>
      </c>
      <c r="AG6" s="78" t="s">
        <v>120</v>
      </c>
      <c r="AH6" s="79" t="s">
        <v>148</v>
      </c>
      <c r="AI6" s="81" t="s">
        <v>46</v>
      </c>
      <c r="AJ6" s="78" t="s">
        <v>47</v>
      </c>
      <c r="AK6" s="78" t="s">
        <v>48</v>
      </c>
      <c r="AL6" s="78" t="s">
        <v>49</v>
      </c>
      <c r="AM6" s="82" t="s">
        <v>50</v>
      </c>
      <c r="AN6" s="78" t="s">
        <v>51</v>
      </c>
      <c r="AO6" s="78" t="s">
        <v>52</v>
      </c>
      <c r="AP6" s="78" t="s">
        <v>103</v>
      </c>
      <c r="AQ6" s="79" t="s">
        <v>53</v>
      </c>
      <c r="AR6" s="77" t="s">
        <v>54</v>
      </c>
      <c r="AS6" s="78" t="s">
        <v>55</v>
      </c>
      <c r="AT6" s="78" t="s">
        <v>56</v>
      </c>
      <c r="AU6" s="78" t="s">
        <v>57</v>
      </c>
      <c r="AV6" s="78" t="s">
        <v>58</v>
      </c>
      <c r="AW6" s="79" t="s">
        <v>59</v>
      </c>
      <c r="AX6" s="77" t="s">
        <v>145</v>
      </c>
      <c r="AY6" s="78" t="s">
        <v>67</v>
      </c>
      <c r="AZ6" s="78" t="s">
        <v>68</v>
      </c>
      <c r="BA6" s="78" t="s">
        <v>69</v>
      </c>
    </row>
    <row r="7" spans="1:97" ht="112" x14ac:dyDescent="0.2">
      <c r="A7" t="s">
        <v>223</v>
      </c>
      <c r="B7" t="s">
        <v>430</v>
      </c>
      <c r="C7" t="s">
        <v>431</v>
      </c>
      <c r="D7" s="1" t="s">
        <v>73</v>
      </c>
      <c r="E7" t="s">
        <v>72</v>
      </c>
      <c r="F7" t="s">
        <v>72</v>
      </c>
      <c r="G7" s="1" t="s">
        <v>73</v>
      </c>
      <c r="J7"/>
      <c r="K7"/>
      <c r="L7"/>
      <c r="M7"/>
      <c r="Q7">
        <v>0</v>
      </c>
      <c r="R7">
        <v>0</v>
      </c>
      <c r="S7">
        <v>0</v>
      </c>
      <c r="T7">
        <v>0</v>
      </c>
      <c r="U7" t="s">
        <v>73</v>
      </c>
      <c r="V7">
        <v>0</v>
      </c>
      <c r="W7" s="1">
        <v>0</v>
      </c>
      <c r="X7">
        <v>0</v>
      </c>
      <c r="Y7" s="1">
        <v>0</v>
      </c>
      <c r="Z7">
        <v>0</v>
      </c>
      <c r="AA7" s="1">
        <v>0</v>
      </c>
      <c r="AB7" s="1">
        <v>0</v>
      </c>
      <c r="AC7" t="s">
        <v>73</v>
      </c>
      <c r="AD7">
        <v>0</v>
      </c>
      <c r="AE7">
        <v>0</v>
      </c>
      <c r="AF7">
        <v>0</v>
      </c>
      <c r="AG7">
        <v>0</v>
      </c>
      <c r="AH7">
        <v>0</v>
      </c>
      <c r="AI7" s="1">
        <v>3</v>
      </c>
      <c r="AJ7" s="1">
        <v>1</v>
      </c>
      <c r="AK7" t="s">
        <v>73</v>
      </c>
      <c r="AL7" t="s">
        <v>73</v>
      </c>
      <c r="AM7" s="42" t="s">
        <v>454</v>
      </c>
      <c r="AN7" t="s">
        <v>432</v>
      </c>
      <c r="AO7" s="56">
        <v>46021.504652777781</v>
      </c>
      <c r="AP7" s="56">
        <v>46023.429745370369</v>
      </c>
      <c r="AQ7" t="s">
        <v>73</v>
      </c>
      <c r="AR7" t="s">
        <v>73</v>
      </c>
      <c r="AS7" t="s">
        <v>73</v>
      </c>
      <c r="AT7" t="s">
        <v>73</v>
      </c>
      <c r="AU7" t="s">
        <v>73</v>
      </c>
      <c r="AV7" t="s">
        <v>73</v>
      </c>
      <c r="AW7">
        <v>0</v>
      </c>
      <c r="AX7" t="s">
        <v>73</v>
      </c>
      <c r="AY7" s="1" t="s">
        <v>158</v>
      </c>
      <c r="AZ7" s="1" t="s">
        <v>158</v>
      </c>
      <c r="BA7" s="1" t="s">
        <v>158</v>
      </c>
      <c r="BB7"/>
      <c r="BC7"/>
      <c r="BD7"/>
      <c r="BI7"/>
      <c r="BJ7"/>
      <c r="CJ7"/>
      <c r="CK7"/>
      <c r="CL7"/>
      <c r="CM7"/>
      <c r="CN7"/>
      <c r="CO7"/>
      <c r="CP7"/>
    </row>
    <row r="8" spans="1:97" ht="16" x14ac:dyDescent="0.2">
      <c r="A8" t="s">
        <v>223</v>
      </c>
      <c r="B8" t="s">
        <v>368</v>
      </c>
      <c r="C8" t="s">
        <v>369</v>
      </c>
      <c r="D8" s="1" t="s">
        <v>73</v>
      </c>
      <c r="E8" t="s">
        <v>72</v>
      </c>
      <c r="F8" t="s">
        <v>72</v>
      </c>
      <c r="G8" s="1" t="s">
        <v>73</v>
      </c>
      <c r="J8"/>
      <c r="K8"/>
      <c r="L8"/>
      <c r="M8"/>
      <c r="Q8">
        <v>0</v>
      </c>
      <c r="R8">
        <v>0</v>
      </c>
      <c r="S8">
        <v>0</v>
      </c>
      <c r="T8">
        <v>0</v>
      </c>
      <c r="U8" t="s">
        <v>73</v>
      </c>
      <c r="V8">
        <v>0</v>
      </c>
      <c r="W8" s="1">
        <v>0</v>
      </c>
      <c r="X8">
        <v>0</v>
      </c>
      <c r="Y8" s="1">
        <v>0</v>
      </c>
      <c r="Z8">
        <v>0</v>
      </c>
      <c r="AA8" s="1">
        <v>0</v>
      </c>
      <c r="AB8" s="1">
        <v>0</v>
      </c>
      <c r="AC8" t="s">
        <v>73</v>
      </c>
      <c r="AD8">
        <v>0</v>
      </c>
      <c r="AE8">
        <v>0</v>
      </c>
      <c r="AF8">
        <v>0</v>
      </c>
      <c r="AG8">
        <v>0</v>
      </c>
      <c r="AH8">
        <v>0</v>
      </c>
      <c r="AI8" s="1">
        <v>10</v>
      </c>
      <c r="AJ8" s="1">
        <v>0</v>
      </c>
      <c r="AK8" t="s">
        <v>73</v>
      </c>
      <c r="AL8" t="s">
        <v>73</v>
      </c>
      <c r="AM8" s="42" t="s">
        <v>73</v>
      </c>
      <c r="AN8" t="s">
        <v>370</v>
      </c>
      <c r="AO8" s="56">
        <v>46015.715069444443</v>
      </c>
      <c r="AP8" s="56">
        <v>46015.673402777778</v>
      </c>
      <c r="AQ8" t="s">
        <v>73</v>
      </c>
      <c r="AR8" t="s">
        <v>73</v>
      </c>
      <c r="AS8" t="s">
        <v>73</v>
      </c>
      <c r="AT8" t="s">
        <v>73</v>
      </c>
      <c r="AU8" t="s">
        <v>73</v>
      </c>
      <c r="AV8" t="s">
        <v>73</v>
      </c>
      <c r="AW8">
        <v>0</v>
      </c>
      <c r="AX8" t="s">
        <v>73</v>
      </c>
      <c r="AY8" s="1" t="s">
        <v>158</v>
      </c>
      <c r="AZ8" s="1" t="s">
        <v>158</v>
      </c>
      <c r="BA8" s="1" t="s">
        <v>158</v>
      </c>
      <c r="BB8"/>
      <c r="BC8"/>
      <c r="BD8"/>
      <c r="BI8"/>
      <c r="BJ8"/>
      <c r="CJ8"/>
      <c r="CK8"/>
      <c r="CL8"/>
      <c r="CM8"/>
      <c r="CN8"/>
      <c r="CO8"/>
      <c r="CP8"/>
    </row>
    <row r="9" spans="1:97" ht="16" x14ac:dyDescent="0.2">
      <c r="A9" t="s">
        <v>223</v>
      </c>
      <c r="B9" t="s">
        <v>336</v>
      </c>
      <c r="C9" t="s">
        <v>337</v>
      </c>
      <c r="D9" s="1" t="s">
        <v>73</v>
      </c>
      <c r="E9" t="s">
        <v>72</v>
      </c>
      <c r="F9" t="s">
        <v>72</v>
      </c>
      <c r="G9" s="1" t="s">
        <v>73</v>
      </c>
      <c r="J9"/>
      <c r="K9"/>
      <c r="L9"/>
      <c r="M9"/>
      <c r="Q9">
        <v>0</v>
      </c>
      <c r="R9">
        <v>0</v>
      </c>
      <c r="S9">
        <v>0</v>
      </c>
      <c r="T9">
        <v>0</v>
      </c>
      <c r="U9" t="s">
        <v>73</v>
      </c>
      <c r="V9">
        <v>0</v>
      </c>
      <c r="W9" s="1">
        <v>0</v>
      </c>
      <c r="X9">
        <v>0</v>
      </c>
      <c r="Y9" s="1">
        <v>0</v>
      </c>
      <c r="Z9">
        <v>0</v>
      </c>
      <c r="AA9" s="1">
        <v>0</v>
      </c>
      <c r="AB9" s="1">
        <v>0</v>
      </c>
      <c r="AC9" t="s">
        <v>73</v>
      </c>
      <c r="AD9">
        <v>0</v>
      </c>
      <c r="AE9">
        <v>0</v>
      </c>
      <c r="AF9">
        <v>0</v>
      </c>
      <c r="AG9">
        <v>0</v>
      </c>
      <c r="AH9">
        <v>0</v>
      </c>
      <c r="AI9" s="1">
        <v>1</v>
      </c>
      <c r="AJ9" s="1">
        <v>1</v>
      </c>
      <c r="AK9" t="s">
        <v>73</v>
      </c>
      <c r="AL9" t="s">
        <v>73</v>
      </c>
      <c r="AM9" s="42" t="s">
        <v>73</v>
      </c>
      <c r="AN9" t="s">
        <v>338</v>
      </c>
      <c r="AO9" s="56">
        <v>46013.519826388889</v>
      </c>
      <c r="AP9" s="56">
        <v>46013.478159722225</v>
      </c>
      <c r="AQ9" t="s">
        <v>73</v>
      </c>
      <c r="AR9" t="s">
        <v>73</v>
      </c>
      <c r="AS9" t="s">
        <v>73</v>
      </c>
      <c r="AT9" t="s">
        <v>73</v>
      </c>
      <c r="AU9" t="s">
        <v>73</v>
      </c>
      <c r="AV9" t="s">
        <v>73</v>
      </c>
      <c r="AW9">
        <v>0</v>
      </c>
      <c r="AX9" t="s">
        <v>73</v>
      </c>
      <c r="AY9" s="1" t="s">
        <v>158</v>
      </c>
      <c r="AZ9" s="1" t="s">
        <v>158</v>
      </c>
      <c r="BA9" s="1" t="s">
        <v>158</v>
      </c>
      <c r="BB9"/>
      <c r="BC9"/>
      <c r="BD9"/>
      <c r="BI9"/>
      <c r="BJ9"/>
      <c r="CJ9"/>
      <c r="CK9"/>
      <c r="CL9"/>
      <c r="CM9"/>
      <c r="CN9"/>
      <c r="CO9"/>
      <c r="CP9"/>
    </row>
    <row r="10" spans="1:97" ht="32" x14ac:dyDescent="0.2">
      <c r="A10" t="s">
        <v>223</v>
      </c>
      <c r="B10" t="s">
        <v>339</v>
      </c>
      <c r="C10" t="s">
        <v>340</v>
      </c>
      <c r="D10" s="1" t="s">
        <v>73</v>
      </c>
      <c r="E10" t="s">
        <v>72</v>
      </c>
      <c r="F10" t="s">
        <v>72</v>
      </c>
      <c r="G10" s="1" t="s">
        <v>73</v>
      </c>
      <c r="J10"/>
      <c r="K10"/>
      <c r="L10"/>
      <c r="M10"/>
      <c r="Q10">
        <v>0</v>
      </c>
      <c r="R10">
        <v>0</v>
      </c>
      <c r="S10">
        <v>0</v>
      </c>
      <c r="T10">
        <v>0</v>
      </c>
      <c r="U10" t="s">
        <v>73</v>
      </c>
      <c r="V10">
        <v>0</v>
      </c>
      <c r="W10" s="1">
        <v>0</v>
      </c>
      <c r="X10">
        <v>0</v>
      </c>
      <c r="Y10" s="1">
        <v>0</v>
      </c>
      <c r="Z10">
        <v>0</v>
      </c>
      <c r="AA10" s="1">
        <v>0</v>
      </c>
      <c r="AB10" s="1">
        <v>0</v>
      </c>
      <c r="AC10" t="s">
        <v>73</v>
      </c>
      <c r="AD10">
        <v>0</v>
      </c>
      <c r="AE10">
        <v>0</v>
      </c>
      <c r="AF10">
        <v>0</v>
      </c>
      <c r="AG10">
        <v>0</v>
      </c>
      <c r="AH10">
        <v>0</v>
      </c>
      <c r="AI10" s="1">
        <v>35</v>
      </c>
      <c r="AJ10" s="1">
        <v>4</v>
      </c>
      <c r="AK10" t="s">
        <v>73</v>
      </c>
      <c r="AL10" t="s">
        <v>73</v>
      </c>
      <c r="AM10" s="42" t="s">
        <v>341</v>
      </c>
      <c r="AN10" t="s">
        <v>342</v>
      </c>
      <c r="AO10" s="56">
        <v>46013.473368055558</v>
      </c>
      <c r="AP10" s="56">
        <v>46013.431701388887</v>
      </c>
      <c r="AQ10" t="s">
        <v>73</v>
      </c>
      <c r="AR10" t="s">
        <v>73</v>
      </c>
      <c r="AS10" t="s">
        <v>73</v>
      </c>
      <c r="AT10" t="s">
        <v>73</v>
      </c>
      <c r="AU10" t="s">
        <v>73</v>
      </c>
      <c r="AV10" t="s">
        <v>73</v>
      </c>
      <c r="AW10">
        <v>0</v>
      </c>
      <c r="AX10" t="s">
        <v>73</v>
      </c>
      <c r="AY10" s="1" t="s">
        <v>158</v>
      </c>
      <c r="AZ10" s="1" t="s">
        <v>158</v>
      </c>
      <c r="BA10" s="1" t="s">
        <v>158</v>
      </c>
      <c r="BB10"/>
      <c r="BC10"/>
      <c r="BD10"/>
      <c r="BI10"/>
      <c r="BJ10"/>
      <c r="CJ10"/>
      <c r="CK10"/>
      <c r="CL10"/>
      <c r="CM10"/>
      <c r="CN10"/>
      <c r="CO10"/>
      <c r="CP10"/>
    </row>
    <row r="11" spans="1:97" ht="16" x14ac:dyDescent="0.2">
      <c r="A11" t="s">
        <v>223</v>
      </c>
      <c r="B11" t="s">
        <v>274</v>
      </c>
      <c r="C11" t="s">
        <v>275</v>
      </c>
      <c r="D11" s="1" t="s">
        <v>73</v>
      </c>
      <c r="E11" t="s">
        <v>72</v>
      </c>
      <c r="F11" t="s">
        <v>72</v>
      </c>
      <c r="G11" s="1" t="s">
        <v>73</v>
      </c>
      <c r="J11"/>
      <c r="K11"/>
      <c r="L11"/>
      <c r="M11"/>
      <c r="Q11">
        <v>0</v>
      </c>
      <c r="R11">
        <v>0</v>
      </c>
      <c r="S11">
        <v>0</v>
      </c>
      <c r="T11">
        <v>0</v>
      </c>
      <c r="U11" t="s">
        <v>73</v>
      </c>
      <c r="V11">
        <v>0</v>
      </c>
      <c r="W11" s="1">
        <v>0</v>
      </c>
      <c r="X11">
        <v>0</v>
      </c>
      <c r="Y11" s="1">
        <v>0</v>
      </c>
      <c r="Z11">
        <v>0</v>
      </c>
      <c r="AA11" s="1">
        <v>0</v>
      </c>
      <c r="AB11" s="1">
        <v>0</v>
      </c>
      <c r="AC11" t="s">
        <v>73</v>
      </c>
      <c r="AD11">
        <v>0</v>
      </c>
      <c r="AE11">
        <v>0</v>
      </c>
      <c r="AF11">
        <v>0</v>
      </c>
      <c r="AG11">
        <v>0</v>
      </c>
      <c r="AH11">
        <v>0</v>
      </c>
      <c r="AI11" s="1">
        <v>16</v>
      </c>
      <c r="AJ11" s="1">
        <v>1</v>
      </c>
      <c r="AK11" t="s">
        <v>73</v>
      </c>
      <c r="AL11" t="s">
        <v>73</v>
      </c>
      <c r="AM11" s="42" t="s">
        <v>276</v>
      </c>
      <c r="AN11" t="s">
        <v>277</v>
      </c>
      <c r="AO11" s="56">
        <v>46006.740833333337</v>
      </c>
      <c r="AP11" s="56">
        <v>46006.699166666665</v>
      </c>
      <c r="AQ11" t="s">
        <v>73</v>
      </c>
      <c r="AR11" t="s">
        <v>73</v>
      </c>
      <c r="AS11" t="s">
        <v>73</v>
      </c>
      <c r="AT11" t="s">
        <v>73</v>
      </c>
      <c r="AU11" t="s">
        <v>73</v>
      </c>
      <c r="AV11" t="s">
        <v>73</v>
      </c>
      <c r="AW11">
        <v>0</v>
      </c>
      <c r="AX11" t="s">
        <v>73</v>
      </c>
      <c r="AY11" s="1" t="s">
        <v>158</v>
      </c>
      <c r="AZ11" s="1" t="s">
        <v>158</v>
      </c>
      <c r="BA11" s="1" t="s">
        <v>158</v>
      </c>
      <c r="BB11"/>
      <c r="BC11"/>
      <c r="BD11"/>
      <c r="BI11"/>
      <c r="BJ11"/>
      <c r="CJ11"/>
      <c r="CK11"/>
      <c r="CL11"/>
      <c r="CM11"/>
      <c r="CN11"/>
      <c r="CO11"/>
      <c r="CP11"/>
    </row>
    <row r="12" spans="1:97" ht="16" x14ac:dyDescent="0.2">
      <c r="A12" t="s">
        <v>223</v>
      </c>
      <c r="B12" t="s">
        <v>278</v>
      </c>
      <c r="C12" t="s">
        <v>279</v>
      </c>
      <c r="D12" s="1" t="s">
        <v>73</v>
      </c>
      <c r="E12" t="s">
        <v>72</v>
      </c>
      <c r="F12" t="s">
        <v>72</v>
      </c>
      <c r="G12" s="1" t="s">
        <v>73</v>
      </c>
      <c r="J12"/>
      <c r="K12"/>
      <c r="L12"/>
      <c r="M12"/>
      <c r="Q12">
        <v>0</v>
      </c>
      <c r="R12">
        <v>0</v>
      </c>
      <c r="S12">
        <v>0</v>
      </c>
      <c r="T12">
        <v>0</v>
      </c>
      <c r="U12" t="s">
        <v>73</v>
      </c>
      <c r="V12">
        <v>0</v>
      </c>
      <c r="W12" s="1">
        <v>0</v>
      </c>
      <c r="X12">
        <v>0</v>
      </c>
      <c r="Y12" s="1">
        <v>0</v>
      </c>
      <c r="Z12">
        <v>0</v>
      </c>
      <c r="AA12" s="1">
        <v>0</v>
      </c>
      <c r="AB12" s="1">
        <v>0</v>
      </c>
      <c r="AC12" t="s">
        <v>73</v>
      </c>
      <c r="AD12">
        <v>0</v>
      </c>
      <c r="AE12">
        <v>0</v>
      </c>
      <c r="AF12">
        <v>0</v>
      </c>
      <c r="AG12">
        <v>0</v>
      </c>
      <c r="AH12">
        <v>0</v>
      </c>
      <c r="AI12" s="1">
        <v>2</v>
      </c>
      <c r="AJ12" s="1">
        <v>0</v>
      </c>
      <c r="AK12" t="s">
        <v>73</v>
      </c>
      <c r="AL12" t="s">
        <v>73</v>
      </c>
      <c r="AM12" s="42" t="s">
        <v>73</v>
      </c>
      <c r="AN12" t="s">
        <v>280</v>
      </c>
      <c r="AO12" s="56">
        <v>46006.457418981481</v>
      </c>
      <c r="AP12" s="56">
        <v>46006.415752314817</v>
      </c>
      <c r="AQ12" t="s">
        <v>73</v>
      </c>
      <c r="AR12" t="s">
        <v>73</v>
      </c>
      <c r="AS12" t="s">
        <v>73</v>
      </c>
      <c r="AT12" t="s">
        <v>73</v>
      </c>
      <c r="AU12" t="s">
        <v>73</v>
      </c>
      <c r="AV12" t="s">
        <v>73</v>
      </c>
      <c r="AW12">
        <v>0</v>
      </c>
      <c r="AX12" t="s">
        <v>73</v>
      </c>
      <c r="AY12" s="1" t="s">
        <v>158</v>
      </c>
      <c r="AZ12" s="1" t="s">
        <v>158</v>
      </c>
      <c r="BA12" s="1" t="s">
        <v>158</v>
      </c>
      <c r="BB12"/>
      <c r="BC12"/>
      <c r="BD12"/>
      <c r="BI12"/>
      <c r="BJ12"/>
      <c r="CJ12"/>
      <c r="CK12"/>
      <c r="CL12"/>
      <c r="CM12"/>
      <c r="CN12"/>
      <c r="CO12"/>
      <c r="CP12"/>
    </row>
    <row r="13" spans="1:97" ht="16" x14ac:dyDescent="0.2">
      <c r="A13" t="s">
        <v>223</v>
      </c>
      <c r="B13" t="s">
        <v>248</v>
      </c>
      <c r="C13" t="s">
        <v>249</v>
      </c>
      <c r="D13" s="1" t="s">
        <v>73</v>
      </c>
      <c r="E13" t="s">
        <v>72</v>
      </c>
      <c r="F13" t="s">
        <v>72</v>
      </c>
      <c r="G13" s="1" t="s">
        <v>73</v>
      </c>
      <c r="J13"/>
      <c r="K13"/>
      <c r="L13"/>
      <c r="M13"/>
      <c r="Q13">
        <v>0</v>
      </c>
      <c r="R13">
        <v>0</v>
      </c>
      <c r="S13">
        <v>0</v>
      </c>
      <c r="T13">
        <v>0</v>
      </c>
      <c r="U13" t="s">
        <v>73</v>
      </c>
      <c r="V13">
        <v>0</v>
      </c>
      <c r="W13" s="1">
        <v>0</v>
      </c>
      <c r="X13">
        <v>0</v>
      </c>
      <c r="Y13" s="1">
        <v>0</v>
      </c>
      <c r="Z13">
        <v>0</v>
      </c>
      <c r="AA13" s="1">
        <v>0</v>
      </c>
      <c r="AB13" s="1">
        <v>0</v>
      </c>
      <c r="AC13" t="s">
        <v>73</v>
      </c>
      <c r="AD13">
        <v>0</v>
      </c>
      <c r="AE13">
        <v>0</v>
      </c>
      <c r="AF13">
        <v>0</v>
      </c>
      <c r="AG13">
        <v>0</v>
      </c>
      <c r="AH13">
        <v>0</v>
      </c>
      <c r="AI13" s="1">
        <v>46</v>
      </c>
      <c r="AJ13" s="1">
        <v>46</v>
      </c>
      <c r="AK13" t="s">
        <v>73</v>
      </c>
      <c r="AL13" t="s">
        <v>73</v>
      </c>
      <c r="AM13" s="42" t="s">
        <v>73</v>
      </c>
      <c r="AN13" t="s">
        <v>250</v>
      </c>
      <c r="AO13" s="56">
        <v>46005.58252314815</v>
      </c>
      <c r="AP13" s="56">
        <v>46005.540856481479</v>
      </c>
      <c r="AQ13" t="s">
        <v>73</v>
      </c>
      <c r="AR13" t="s">
        <v>73</v>
      </c>
      <c r="AS13" t="s">
        <v>73</v>
      </c>
      <c r="AT13" t="s">
        <v>73</v>
      </c>
      <c r="AU13" t="s">
        <v>73</v>
      </c>
      <c r="AV13" t="s">
        <v>73</v>
      </c>
      <c r="AW13">
        <v>0</v>
      </c>
      <c r="AX13" t="s">
        <v>73</v>
      </c>
      <c r="AY13" s="1" t="s">
        <v>158</v>
      </c>
      <c r="AZ13" s="1" t="s">
        <v>158</v>
      </c>
      <c r="BA13" s="1" t="s">
        <v>158</v>
      </c>
      <c r="BB13"/>
      <c r="BC13"/>
      <c r="BD13"/>
      <c r="BI13"/>
      <c r="BJ13"/>
      <c r="CJ13"/>
      <c r="CK13"/>
      <c r="CL13"/>
      <c r="CM13"/>
      <c r="CN13"/>
      <c r="CO13"/>
      <c r="CP13"/>
    </row>
    <row r="14" spans="1:97" ht="16" x14ac:dyDescent="0.2">
      <c r="A14" t="s">
        <v>223</v>
      </c>
      <c r="B14" t="s">
        <v>251</v>
      </c>
      <c r="C14" t="s">
        <v>252</v>
      </c>
      <c r="D14" s="1" t="s">
        <v>73</v>
      </c>
      <c r="E14" t="s">
        <v>72</v>
      </c>
      <c r="F14" t="s">
        <v>73</v>
      </c>
      <c r="G14" s="1" t="s">
        <v>73</v>
      </c>
      <c r="J14"/>
      <c r="K14"/>
      <c r="L14"/>
      <c r="M14"/>
      <c r="Q14">
        <v>0</v>
      </c>
      <c r="R14">
        <v>0</v>
      </c>
      <c r="S14">
        <v>0</v>
      </c>
      <c r="T14">
        <v>0</v>
      </c>
      <c r="U14" t="s">
        <v>73</v>
      </c>
      <c r="V14">
        <v>0</v>
      </c>
      <c r="W14" s="1">
        <v>0</v>
      </c>
      <c r="X14">
        <v>0</v>
      </c>
      <c r="Y14" s="1">
        <v>0</v>
      </c>
      <c r="Z14">
        <v>0</v>
      </c>
      <c r="AA14" s="1">
        <v>0</v>
      </c>
      <c r="AB14" s="1">
        <v>0</v>
      </c>
      <c r="AC14" t="s">
        <v>73</v>
      </c>
      <c r="AD14">
        <v>0</v>
      </c>
      <c r="AE14">
        <v>0</v>
      </c>
      <c r="AF14">
        <v>0</v>
      </c>
      <c r="AG14">
        <v>0</v>
      </c>
      <c r="AH14">
        <v>0</v>
      </c>
      <c r="AI14" s="1">
        <v>90</v>
      </c>
      <c r="AJ14" s="1">
        <v>0</v>
      </c>
      <c r="AK14" t="s">
        <v>73</v>
      </c>
      <c r="AL14" t="s">
        <v>73</v>
      </c>
      <c r="AM14" s="42" t="s">
        <v>73</v>
      </c>
      <c r="AN14" t="s">
        <v>253</v>
      </c>
      <c r="AO14" s="56">
        <v>46005.544618055559</v>
      </c>
      <c r="AP14" s="56">
        <v>46005.502951388888</v>
      </c>
      <c r="AQ14" t="s">
        <v>73</v>
      </c>
      <c r="AR14" t="s">
        <v>73</v>
      </c>
      <c r="AS14" t="s">
        <v>73</v>
      </c>
      <c r="AT14" t="s">
        <v>73</v>
      </c>
      <c r="AU14" t="s">
        <v>73</v>
      </c>
      <c r="AV14" t="s">
        <v>73</v>
      </c>
      <c r="AW14">
        <v>0</v>
      </c>
      <c r="AX14" t="s">
        <v>73</v>
      </c>
      <c r="AY14" s="1" t="s">
        <v>158</v>
      </c>
      <c r="AZ14" s="1" t="s">
        <v>158</v>
      </c>
      <c r="BA14" s="1" t="s">
        <v>158</v>
      </c>
      <c r="BB14"/>
      <c r="BC14"/>
      <c r="BD14"/>
      <c r="BI14"/>
      <c r="BJ14"/>
      <c r="CJ14"/>
      <c r="CK14"/>
      <c r="CL14"/>
      <c r="CM14"/>
      <c r="CN14"/>
      <c r="CO14"/>
      <c r="CP14"/>
    </row>
    <row r="15" spans="1:97" ht="16" x14ac:dyDescent="0.2">
      <c r="A15" t="s">
        <v>223</v>
      </c>
      <c r="B15" t="s">
        <v>224</v>
      </c>
      <c r="C15" t="s">
        <v>225</v>
      </c>
      <c r="D15" s="1" t="s">
        <v>73</v>
      </c>
      <c r="E15" t="s">
        <v>72</v>
      </c>
      <c r="F15" t="s">
        <v>72</v>
      </c>
      <c r="G15" s="1" t="s">
        <v>73</v>
      </c>
      <c r="J15"/>
      <c r="K15"/>
      <c r="L15"/>
      <c r="M15"/>
      <c r="Q15">
        <v>0</v>
      </c>
      <c r="R15">
        <v>0</v>
      </c>
      <c r="S15">
        <v>0</v>
      </c>
      <c r="T15">
        <v>0</v>
      </c>
      <c r="U15" t="s">
        <v>73</v>
      </c>
      <c r="V15">
        <v>0</v>
      </c>
      <c r="W15" s="1">
        <v>0</v>
      </c>
      <c r="X15">
        <v>0</v>
      </c>
      <c r="Y15" s="1">
        <v>0</v>
      </c>
      <c r="Z15">
        <v>0</v>
      </c>
      <c r="AA15" s="1">
        <v>0</v>
      </c>
      <c r="AB15" s="1">
        <v>0</v>
      </c>
      <c r="AC15" t="s">
        <v>73</v>
      </c>
      <c r="AD15">
        <v>0</v>
      </c>
      <c r="AE15">
        <v>0</v>
      </c>
      <c r="AF15">
        <v>0</v>
      </c>
      <c r="AG15">
        <v>0</v>
      </c>
      <c r="AH15">
        <v>0</v>
      </c>
      <c r="AI15" s="1">
        <v>2</v>
      </c>
      <c r="AJ15" s="1">
        <v>1</v>
      </c>
      <c r="AK15" t="s">
        <v>73</v>
      </c>
      <c r="AL15" t="s">
        <v>73</v>
      </c>
      <c r="AM15" s="42" t="s">
        <v>226</v>
      </c>
      <c r="AN15" t="s">
        <v>227</v>
      </c>
      <c r="AO15" s="56">
        <v>46003.773634259262</v>
      </c>
      <c r="AP15" s="56">
        <v>46003.73196759259</v>
      </c>
      <c r="AQ15" t="s">
        <v>73</v>
      </c>
      <c r="AR15" t="s">
        <v>73</v>
      </c>
      <c r="AS15" t="s">
        <v>73</v>
      </c>
      <c r="AT15" t="s">
        <v>73</v>
      </c>
      <c r="AU15" t="s">
        <v>73</v>
      </c>
      <c r="AV15" t="s">
        <v>73</v>
      </c>
      <c r="AW15">
        <v>0</v>
      </c>
      <c r="AX15" t="s">
        <v>73</v>
      </c>
      <c r="AY15" s="1" t="s">
        <v>158</v>
      </c>
      <c r="AZ15" s="1" t="s">
        <v>158</v>
      </c>
      <c r="BA15" s="1" t="s">
        <v>158</v>
      </c>
      <c r="BB15"/>
      <c r="BC15"/>
      <c r="BD15"/>
      <c r="BI15"/>
      <c r="BJ15"/>
      <c r="CJ15"/>
      <c r="CK15"/>
      <c r="CL15"/>
      <c r="CM15"/>
      <c r="CN15"/>
      <c r="CO15"/>
      <c r="CP15"/>
    </row>
    <row r="16" spans="1:97" ht="16" x14ac:dyDescent="0.2">
      <c r="A16" t="s">
        <v>223</v>
      </c>
      <c r="B16" t="s">
        <v>203</v>
      </c>
      <c r="C16" t="s">
        <v>204</v>
      </c>
      <c r="D16" s="1" t="s">
        <v>73</v>
      </c>
      <c r="E16" t="s">
        <v>72</v>
      </c>
      <c r="F16" t="s">
        <v>72</v>
      </c>
      <c r="G16" s="1" t="s">
        <v>73</v>
      </c>
      <c r="J16"/>
      <c r="K16"/>
      <c r="L16"/>
      <c r="M16"/>
      <c r="Q16">
        <v>0</v>
      </c>
      <c r="R16">
        <v>0</v>
      </c>
      <c r="S16">
        <v>0</v>
      </c>
      <c r="T16">
        <v>0</v>
      </c>
      <c r="U16" t="s">
        <v>73</v>
      </c>
      <c r="V16">
        <v>0</v>
      </c>
      <c r="W16" s="1">
        <v>0</v>
      </c>
      <c r="X16">
        <v>0</v>
      </c>
      <c r="Y16" s="1">
        <v>0</v>
      </c>
      <c r="Z16">
        <v>0</v>
      </c>
      <c r="AA16" s="1">
        <v>0</v>
      </c>
      <c r="AB16" s="1">
        <v>0</v>
      </c>
      <c r="AC16" t="s">
        <v>73</v>
      </c>
      <c r="AD16">
        <v>0</v>
      </c>
      <c r="AE16">
        <v>0</v>
      </c>
      <c r="AF16">
        <v>0</v>
      </c>
      <c r="AG16">
        <v>0</v>
      </c>
      <c r="AH16">
        <v>0</v>
      </c>
      <c r="AI16" s="1">
        <v>15</v>
      </c>
      <c r="AJ16" s="1">
        <v>2</v>
      </c>
      <c r="AK16" t="s">
        <v>73</v>
      </c>
      <c r="AL16" t="s">
        <v>73</v>
      </c>
      <c r="AM16" s="42" t="s">
        <v>73</v>
      </c>
      <c r="AN16" t="s">
        <v>205</v>
      </c>
      <c r="AO16" s="56">
        <v>46001.816770833335</v>
      </c>
      <c r="AP16" s="56">
        <v>46002.760763888888</v>
      </c>
      <c r="AQ16" t="s">
        <v>73</v>
      </c>
      <c r="AR16" t="s">
        <v>73</v>
      </c>
      <c r="AS16" t="s">
        <v>73</v>
      </c>
      <c r="AT16" t="s">
        <v>73</v>
      </c>
      <c r="AU16" t="s">
        <v>73</v>
      </c>
      <c r="AV16" t="s">
        <v>73</v>
      </c>
      <c r="AW16">
        <v>0</v>
      </c>
      <c r="AX16" t="s">
        <v>73</v>
      </c>
      <c r="AY16" s="1" t="s">
        <v>158</v>
      </c>
      <c r="AZ16" s="1" t="s">
        <v>158</v>
      </c>
      <c r="BA16" s="1" t="s">
        <v>158</v>
      </c>
      <c r="BB16"/>
      <c r="BC16"/>
      <c r="BD16"/>
      <c r="BI16"/>
      <c r="BJ16"/>
      <c r="CJ16"/>
      <c r="CK16"/>
      <c r="CL16"/>
      <c r="CM16"/>
      <c r="CN16"/>
      <c r="CO16"/>
      <c r="CP16"/>
    </row>
    <row r="17" spans="1:94" ht="16" x14ac:dyDescent="0.2">
      <c r="A17" t="s">
        <v>223</v>
      </c>
      <c r="B17" t="s">
        <v>199</v>
      </c>
      <c r="C17" t="s">
        <v>200</v>
      </c>
      <c r="D17" s="1" t="s">
        <v>73</v>
      </c>
      <c r="E17" t="s">
        <v>72</v>
      </c>
      <c r="F17" t="s">
        <v>73</v>
      </c>
      <c r="G17" s="1" t="s">
        <v>73</v>
      </c>
      <c r="J17"/>
      <c r="K17"/>
      <c r="L17"/>
      <c r="M17"/>
      <c r="Q17">
        <v>0</v>
      </c>
      <c r="R17">
        <v>0</v>
      </c>
      <c r="S17">
        <v>0</v>
      </c>
      <c r="T17">
        <v>0</v>
      </c>
      <c r="U17" t="s">
        <v>73</v>
      </c>
      <c r="V17">
        <v>0</v>
      </c>
      <c r="W17" s="1">
        <v>0</v>
      </c>
      <c r="X17">
        <v>0</v>
      </c>
      <c r="Y17" s="1">
        <v>0</v>
      </c>
      <c r="Z17">
        <v>0</v>
      </c>
      <c r="AA17" s="1">
        <v>0</v>
      </c>
      <c r="AB17" s="1">
        <v>0</v>
      </c>
      <c r="AC17" t="s">
        <v>73</v>
      </c>
      <c r="AD17">
        <v>0</v>
      </c>
      <c r="AE17">
        <v>0</v>
      </c>
      <c r="AF17">
        <v>0</v>
      </c>
      <c r="AG17">
        <v>0</v>
      </c>
      <c r="AH17">
        <v>0</v>
      </c>
      <c r="AI17" s="1">
        <v>2</v>
      </c>
      <c r="AJ17" s="1">
        <v>0</v>
      </c>
      <c r="AK17" t="s">
        <v>73</v>
      </c>
      <c r="AL17" t="s">
        <v>73</v>
      </c>
      <c r="AM17" s="42" t="s">
        <v>73</v>
      </c>
      <c r="AN17" t="s">
        <v>202</v>
      </c>
      <c r="AO17" s="56">
        <v>46000.935324074075</v>
      </c>
      <c r="AP17" s="56">
        <v>46002.760567129626</v>
      </c>
      <c r="AQ17" t="s">
        <v>73</v>
      </c>
      <c r="AR17" t="s">
        <v>73</v>
      </c>
      <c r="AS17" t="s">
        <v>73</v>
      </c>
      <c r="AT17" t="s">
        <v>73</v>
      </c>
      <c r="AU17" t="s">
        <v>73</v>
      </c>
      <c r="AV17" t="s">
        <v>73</v>
      </c>
      <c r="AW17">
        <v>0</v>
      </c>
      <c r="AX17" t="s">
        <v>73</v>
      </c>
      <c r="AY17" s="1" t="s">
        <v>158</v>
      </c>
      <c r="AZ17" s="1" t="s">
        <v>158</v>
      </c>
      <c r="BA17" s="1" t="s">
        <v>158</v>
      </c>
      <c r="BB17"/>
      <c r="BC17"/>
      <c r="BD17"/>
      <c r="BI17"/>
      <c r="BJ17"/>
      <c r="CJ17"/>
      <c r="CK17"/>
      <c r="CL17"/>
      <c r="CM17"/>
      <c r="CN17"/>
      <c r="CO17"/>
      <c r="CP17"/>
    </row>
    <row r="18" spans="1:94" ht="16" x14ac:dyDescent="0.2">
      <c r="A18" t="s">
        <v>223</v>
      </c>
      <c r="B18" t="s">
        <v>192</v>
      </c>
      <c r="C18" t="s">
        <v>193</v>
      </c>
      <c r="D18" s="1" t="s">
        <v>73</v>
      </c>
      <c r="E18" t="s">
        <v>72</v>
      </c>
      <c r="F18" t="s">
        <v>72</v>
      </c>
      <c r="G18" s="1" t="s">
        <v>73</v>
      </c>
      <c r="J18"/>
      <c r="K18"/>
      <c r="L18"/>
      <c r="M18"/>
      <c r="Q18">
        <v>0</v>
      </c>
      <c r="R18">
        <v>0</v>
      </c>
      <c r="S18">
        <v>0</v>
      </c>
      <c r="T18">
        <v>0</v>
      </c>
      <c r="U18" t="s">
        <v>73</v>
      </c>
      <c r="V18">
        <v>0</v>
      </c>
      <c r="W18" s="1">
        <v>0</v>
      </c>
      <c r="X18">
        <v>0</v>
      </c>
      <c r="Y18" s="1">
        <v>0</v>
      </c>
      <c r="Z18">
        <v>0</v>
      </c>
      <c r="AA18" s="1">
        <v>0</v>
      </c>
      <c r="AB18" s="1">
        <v>0</v>
      </c>
      <c r="AC18" t="s">
        <v>73</v>
      </c>
      <c r="AD18">
        <v>0</v>
      </c>
      <c r="AE18">
        <v>0</v>
      </c>
      <c r="AF18">
        <v>0</v>
      </c>
      <c r="AG18">
        <v>0</v>
      </c>
      <c r="AH18">
        <v>0</v>
      </c>
      <c r="AI18" s="1">
        <v>20</v>
      </c>
      <c r="AJ18" s="1">
        <v>1</v>
      </c>
      <c r="AK18" t="s">
        <v>73</v>
      </c>
      <c r="AL18" t="s">
        <v>73</v>
      </c>
      <c r="AM18" s="42" t="s">
        <v>73</v>
      </c>
      <c r="AN18" t="s">
        <v>194</v>
      </c>
      <c r="AO18" s="56">
        <v>45999.857777777775</v>
      </c>
      <c r="AP18" s="56">
        <v>46002.760289351849</v>
      </c>
      <c r="AQ18" t="s">
        <v>73</v>
      </c>
      <c r="AR18" t="s">
        <v>73</v>
      </c>
      <c r="AS18" t="s">
        <v>73</v>
      </c>
      <c r="AT18" t="s">
        <v>73</v>
      </c>
      <c r="AU18" t="s">
        <v>73</v>
      </c>
      <c r="AV18" t="s">
        <v>73</v>
      </c>
      <c r="AW18">
        <v>0</v>
      </c>
      <c r="AX18" t="s">
        <v>73</v>
      </c>
      <c r="AY18" s="1" t="s">
        <v>158</v>
      </c>
      <c r="AZ18" s="1" t="s">
        <v>158</v>
      </c>
      <c r="BA18" s="1" t="s">
        <v>158</v>
      </c>
      <c r="BB18"/>
      <c r="BC18"/>
      <c r="BD18"/>
      <c r="BI18"/>
      <c r="BJ18"/>
      <c r="CJ18"/>
      <c r="CK18"/>
      <c r="CL18"/>
      <c r="CM18"/>
      <c r="CN18"/>
      <c r="CO18"/>
      <c r="CP18"/>
    </row>
    <row r="19" spans="1:94" x14ac:dyDescent="0.2">
      <c r="A19" t="s">
        <v>79</v>
      </c>
      <c r="C19">
        <f>SUBTOTAL(103,KDRvNB[Naam vereniging])</f>
        <v>12</v>
      </c>
      <c r="D19" s="1">
        <f>COUNTIF(KDRvNB[Delegatie],"x")</f>
        <v>0</v>
      </c>
      <c r="E19" s="1">
        <f>COUNTIF(KDRvNB[Muziekkorps tijdens mars en defilé],"x")</f>
        <v>12</v>
      </c>
      <c r="F19" s="1">
        <f>COUNTIF(KDRvNB[Deelname jeugdkoningschieten],"x")</f>
        <v>10</v>
      </c>
      <c r="G19" s="7">
        <f>COUNTIF(KDRvNB[Maj. Senioren jureren bij mars],"x")</f>
        <v>0</v>
      </c>
      <c r="H19" s="7">
        <f>COUNTIF(KDRvNB[Maj. Jeugd jureren bij mars],"x")</f>
        <v>0</v>
      </c>
      <c r="I19" s="1">
        <f>SUBTOTAL(109,KDRvNB[Korps senioren])</f>
        <v>0</v>
      </c>
      <c r="J19" s="1">
        <f>SUBTOTAL(109,KDRvNB[Junioren korps 1])</f>
        <v>0</v>
      </c>
      <c r="K19" s="1">
        <f>SUBTOTAL(109,KDRvNB[Junioren korps 2])</f>
        <v>0</v>
      </c>
      <c r="L19" s="1">
        <f>SUBTOTAL(109,KDRvNB[Aspiranten korps 1])</f>
        <v>0</v>
      </c>
      <c r="M19" s="1">
        <f>SUBTOTAL(109,KDRvNB[Aspiranten korps 2])</f>
        <v>0</v>
      </c>
      <c r="N19" s="1">
        <f>SUBTOTAL(109,KDRvNB[Acrobatisch senioren])</f>
        <v>0</v>
      </c>
      <c r="O19" s="1">
        <f>SUBTOTAL(109,KDRvNB[Acrobatisch junioren])</f>
        <v>0</v>
      </c>
      <c r="P19" s="1">
        <f>SUBTOTAL(109,KDRvNB[Acrobatisch aspiranten])</f>
        <v>0</v>
      </c>
      <c r="Q19">
        <f>SUBTOTAL(109,KDRvNB[Opgeven vendeliers ind.])</f>
        <v>0</v>
      </c>
      <c r="R19">
        <f>SUBTOTAL(109,KDRvNB[Acrob. senioren indiv.])</f>
        <v>0</v>
      </c>
      <c r="S19">
        <f>SUBTOTAL(109,KDRvNB[Acrob. junioren indiv.])</f>
        <v>0</v>
      </c>
      <c r="T19">
        <f>SUBTOTAL(109,KDRvNB[Acrob. aspiranten indiv.])</f>
        <v>0</v>
      </c>
      <c r="U19" s="7">
        <f>COUNTIF(KDRvNB[Deelname hoofdkorps],"x")</f>
        <v>0</v>
      </c>
      <c r="V19" s="1">
        <f>SUBTOTAL(109,KDRvNB[Groepen, teams, ensembles en duo''s])</f>
        <v>0</v>
      </c>
      <c r="W19" s="1">
        <f>SUBTOTAL(109,KDRvNB[Aantal opgegeven majorettes])</f>
        <v>0</v>
      </c>
      <c r="X19">
        <f>SUBTOTAL(109,KDRvNB[Opgeven bielemannen])</f>
        <v>0</v>
      </c>
      <c r="Y19" s="1">
        <f>SUBTOTAL(109,KDRvNB[Senioren])</f>
        <v>0</v>
      </c>
      <c r="Z19" s="1">
        <f>SUBTOTAL(109,KDRvNB[Jong Volwassene])</f>
        <v>0</v>
      </c>
      <c r="AA19" s="1">
        <f>SUBTOTAL(109,KDRvNB[Junioren])</f>
        <v>0</v>
      </c>
      <c r="AB19" s="1">
        <f>SUBTOTAL(109,KDRvNB[Aspiranten])</f>
        <v>0</v>
      </c>
      <c r="AC19" s="7">
        <f>COUNTIF(KDRvNB[Deelname marketentsters],"x")</f>
        <v>0</v>
      </c>
      <c r="AD19">
        <f>SUBTOTAL(109,KDRvNB[Aantal luchtgeweerschutters])</f>
        <v>0</v>
      </c>
      <c r="AE19" s="1">
        <f>SUBTOTAL(109,KDRvNB[Aantal luchtpistoolschutters])</f>
        <v>0</v>
      </c>
      <c r="AF19">
        <f>SUBTOTAL(109,KDRvNB[Aantal handboogschutters])</f>
        <v>0</v>
      </c>
      <c r="AG19" s="1">
        <f>SUBTOTAL(109,KDRvNB[Aantal kruisboogschutters])</f>
        <v>0</v>
      </c>
      <c r="AH19">
        <f>SUBTOTAL(109,KDRvNB[(Aantal jeugdkorpsen])</f>
        <v>0</v>
      </c>
      <c r="AI19" s="1">
        <f>SUBTOTAL(109,KDRvNB[Totaal aantal deelnemers])</f>
        <v>242</v>
      </c>
      <c r="AJ19" s="1">
        <f>SUBTOTAL(109,KDRvNB[Waarvan aantal jeugd (t/m 15 jaar)])</f>
        <v>57</v>
      </c>
      <c r="AK19" s="55">
        <f>COUNTIF(KDRvNB[Kanon etc.],"x")</f>
        <v>0</v>
      </c>
      <c r="AL19" s="1">
        <f>COUNTIF(KDRvNB[Paarden en/of koetsen],"x")</f>
        <v>0</v>
      </c>
      <c r="AM19" s="44"/>
      <c r="AW19" s="1">
        <f>SUBTOTAL(109,KDRvNB[Korps bestaat uit ... deelnemers (hoofdkorps)])</f>
        <v>0</v>
      </c>
      <c r="AX19"/>
      <c r="BB19"/>
      <c r="BC19"/>
      <c r="BD19"/>
      <c r="BI19"/>
      <c r="BJ19"/>
      <c r="CJ19"/>
      <c r="CK19"/>
      <c r="CL19"/>
      <c r="CM19"/>
      <c r="CN19"/>
      <c r="CO19"/>
      <c r="CP19"/>
    </row>
    <row r="20" spans="1:94" x14ac:dyDescent="0.2">
      <c r="BB20"/>
      <c r="BC20"/>
      <c r="BD20"/>
      <c r="BI20"/>
      <c r="BJ20"/>
      <c r="CJ20"/>
      <c r="CK20"/>
      <c r="CL20"/>
      <c r="CM20"/>
      <c r="CN20"/>
      <c r="CO20"/>
      <c r="CP20"/>
    </row>
    <row r="21" spans="1:94" x14ac:dyDescent="0.2">
      <c r="D21" s="47"/>
      <c r="BB21"/>
      <c r="BC21"/>
      <c r="BD21"/>
      <c r="BI21"/>
      <c r="BJ21"/>
      <c r="CJ21"/>
      <c r="CK21"/>
      <c r="CL21"/>
      <c r="CM21"/>
      <c r="CN21"/>
      <c r="CO21"/>
      <c r="CP21"/>
    </row>
    <row r="22" spans="1:94" x14ac:dyDescent="0.2">
      <c r="BB22"/>
      <c r="BC22"/>
      <c r="BD22"/>
      <c r="BI22"/>
      <c r="BJ22"/>
      <c r="CJ22"/>
      <c r="CK22"/>
      <c r="CL22"/>
      <c r="CM22"/>
      <c r="CN22"/>
      <c r="CO22"/>
      <c r="CP22"/>
    </row>
    <row r="23" spans="1:94" x14ac:dyDescent="0.2">
      <c r="BB23"/>
      <c r="BC23"/>
      <c r="BD23"/>
      <c r="BI23"/>
      <c r="BJ23"/>
      <c r="CJ23"/>
      <c r="CK23"/>
      <c r="CL23"/>
      <c r="CM23"/>
      <c r="CN23"/>
      <c r="CO23"/>
      <c r="CP23"/>
    </row>
    <row r="24" spans="1:94" x14ac:dyDescent="0.2">
      <c r="BD24" s="1"/>
      <c r="BE24" s="1"/>
      <c r="BF24" s="1"/>
      <c r="BG24" s="1"/>
      <c r="BH24" s="1"/>
      <c r="BI24"/>
      <c r="BJ24"/>
      <c r="CJ24"/>
      <c r="CK24"/>
      <c r="CL24"/>
      <c r="CM24"/>
      <c r="CN24"/>
      <c r="CO24"/>
      <c r="CP24"/>
    </row>
    <row r="25" spans="1:94" x14ac:dyDescent="0.2">
      <c r="BD25" s="1"/>
      <c r="BE25" s="1"/>
      <c r="BF25" s="1"/>
      <c r="BG25" s="1"/>
      <c r="BH25" s="1"/>
      <c r="BI25"/>
      <c r="BJ25"/>
      <c r="CJ25"/>
      <c r="CK25"/>
      <c r="CL25"/>
      <c r="CM25"/>
      <c r="CN25"/>
      <c r="CO25"/>
      <c r="CP25"/>
    </row>
    <row r="26" spans="1:94" x14ac:dyDescent="0.2">
      <c r="BD26" s="1"/>
      <c r="BE26" s="1"/>
      <c r="BF26" s="1"/>
      <c r="BG26" s="1"/>
      <c r="BH26" s="1"/>
      <c r="BI26"/>
      <c r="BJ26"/>
      <c r="CJ26"/>
      <c r="CK26"/>
      <c r="CL26"/>
      <c r="CM26"/>
      <c r="CN26"/>
      <c r="CO26"/>
      <c r="CP26"/>
    </row>
    <row r="27" spans="1:94" x14ac:dyDescent="0.2">
      <c r="BD27" s="1"/>
      <c r="BE27" s="1"/>
      <c r="BF27" s="1"/>
      <c r="BG27" s="1"/>
      <c r="BH27" s="1"/>
      <c r="BI27"/>
      <c r="BJ27"/>
      <c r="CJ27"/>
      <c r="CK27"/>
      <c r="CL27"/>
      <c r="CM27"/>
      <c r="CN27"/>
      <c r="CO27"/>
      <c r="CP27"/>
    </row>
    <row r="28" spans="1:94" x14ac:dyDescent="0.2">
      <c r="BD28" s="1"/>
      <c r="BE28" s="1"/>
      <c r="BF28" s="1"/>
      <c r="BG28" s="1"/>
      <c r="BH28" s="1"/>
      <c r="BI28"/>
      <c r="BJ28"/>
      <c r="CJ28"/>
      <c r="CK28"/>
      <c r="CL28"/>
      <c r="CM28"/>
      <c r="CN28"/>
      <c r="CO28"/>
      <c r="CP28"/>
    </row>
  </sheetData>
  <mergeCells count="13">
    <mergeCell ref="AR3:AW4"/>
    <mergeCell ref="AX3:BA4"/>
    <mergeCell ref="Q4:T4"/>
    <mergeCell ref="A1:BA1"/>
    <mergeCell ref="A2:BA2"/>
    <mergeCell ref="J3:T3"/>
    <mergeCell ref="X3:AB4"/>
    <mergeCell ref="AC3:AC4"/>
    <mergeCell ref="AD3:AH4"/>
    <mergeCell ref="AI3:AQ4"/>
    <mergeCell ref="I4:M4"/>
    <mergeCell ref="N4:P4"/>
    <mergeCell ref="D3:H4"/>
  </mergeCells>
  <phoneticPr fontId="2" type="noConversion"/>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2F98C-9FE9-9242-99D4-3F62D00B16CB}">
  <dimension ref="A1:BN25"/>
  <sheetViews>
    <sheetView workbookViewId="0">
      <selection activeCell="B23" sqref="B23:D24"/>
    </sheetView>
  </sheetViews>
  <sheetFormatPr baseColWidth="10" defaultRowHeight="15" x14ac:dyDescent="0.2"/>
  <cols>
    <col min="1" max="1" width="11" bestFit="1" customWidth="1"/>
    <col min="2" max="2" width="9.1640625" bestFit="1" customWidth="1"/>
    <col min="3" max="3" width="38.1640625" bestFit="1" customWidth="1"/>
    <col min="4" max="8" width="3.6640625" bestFit="1" customWidth="1"/>
    <col min="9" max="9" width="4.1640625" bestFit="1" customWidth="1"/>
    <col min="10" max="34" width="3.6640625" bestFit="1" customWidth="1"/>
    <col min="35" max="35" width="5.1640625" bestFit="1" customWidth="1"/>
    <col min="36" max="36" width="4.1640625" bestFit="1" customWidth="1"/>
    <col min="37" max="38" width="3.6640625" bestFit="1" customWidth="1"/>
    <col min="39" max="39" width="69.1640625" bestFit="1" customWidth="1"/>
    <col min="40" max="40" width="5.1640625" bestFit="1" customWidth="1"/>
    <col min="41" max="42" width="15" bestFit="1" customWidth="1"/>
    <col min="43" max="50" width="3.6640625" bestFit="1" customWidth="1"/>
    <col min="51" max="53" width="6.1640625" bestFit="1" customWidth="1"/>
  </cols>
  <sheetData>
    <row r="1" spans="1:66" ht="27" customHeight="1" x14ac:dyDescent="0.2">
      <c r="A1" s="108" t="s">
        <v>81</v>
      </c>
      <c r="B1" s="108"/>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08"/>
      <c r="AD1" s="108"/>
      <c r="AE1" s="108"/>
      <c r="AF1" s="108"/>
      <c r="AG1" s="108"/>
      <c r="AH1" s="108"/>
      <c r="AI1" s="108"/>
      <c r="AJ1" s="108"/>
      <c r="AK1" s="108"/>
      <c r="AL1" s="108"/>
      <c r="AM1" s="108"/>
      <c r="AN1" s="108"/>
      <c r="AO1" s="108"/>
      <c r="AP1" s="108"/>
      <c r="AQ1" s="108"/>
      <c r="AR1" s="108"/>
      <c r="AS1" s="108"/>
      <c r="AT1" s="108"/>
      <c r="AU1" s="108"/>
      <c r="AV1" s="108"/>
      <c r="AW1" s="108"/>
      <c r="AX1" s="108"/>
      <c r="AY1" s="108"/>
      <c r="AZ1" s="108"/>
      <c r="BA1" s="108"/>
      <c r="BB1" s="49"/>
      <c r="BC1" s="49"/>
      <c r="BD1" s="49"/>
      <c r="BE1" s="49"/>
      <c r="BF1" s="49"/>
      <c r="BG1" s="49"/>
      <c r="BH1" s="49"/>
      <c r="BI1" s="49"/>
      <c r="BJ1" s="49"/>
      <c r="BK1" s="49"/>
      <c r="BL1" s="49"/>
      <c r="BM1" s="49"/>
      <c r="BN1" s="49"/>
    </row>
    <row r="2" spans="1:66" ht="20" thickBot="1" x14ac:dyDescent="0.3">
      <c r="A2" s="109" t="s">
        <v>173</v>
      </c>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c r="AV2" s="109"/>
      <c r="AW2" s="109"/>
      <c r="AX2" s="109"/>
      <c r="AY2" s="109"/>
      <c r="AZ2" s="109"/>
      <c r="BA2" s="109"/>
      <c r="BB2" s="50"/>
      <c r="BC2" s="50"/>
      <c r="BD2" s="50"/>
      <c r="BE2" s="50"/>
      <c r="BF2" s="50"/>
      <c r="BG2" s="50"/>
      <c r="BH2" s="50"/>
      <c r="BI2" s="50"/>
      <c r="BJ2" s="50"/>
      <c r="BK2" s="50"/>
      <c r="BL2" s="50"/>
      <c r="BM2" s="50"/>
      <c r="BN2" s="50"/>
    </row>
    <row r="3" spans="1:66" s="23" customFormat="1" ht="16" thickBot="1" x14ac:dyDescent="0.25">
      <c r="A3" s="67"/>
      <c r="B3" s="68"/>
      <c r="C3" s="69"/>
      <c r="D3" s="95" t="s">
        <v>1</v>
      </c>
      <c r="E3" s="96"/>
      <c r="F3" s="96"/>
      <c r="G3" s="96"/>
      <c r="H3" s="97"/>
      <c r="I3" s="72"/>
      <c r="J3" s="102" t="s">
        <v>2</v>
      </c>
      <c r="K3" s="102"/>
      <c r="L3" s="102"/>
      <c r="M3" s="102"/>
      <c r="N3" s="102"/>
      <c r="O3" s="102"/>
      <c r="P3" s="102"/>
      <c r="Q3" s="102"/>
      <c r="R3" s="102"/>
      <c r="S3" s="102"/>
      <c r="T3" s="103"/>
      <c r="U3" s="17" t="s">
        <v>3</v>
      </c>
      <c r="V3" s="11" t="s">
        <v>150</v>
      </c>
      <c r="W3" s="13"/>
      <c r="X3" s="95" t="s">
        <v>5</v>
      </c>
      <c r="Y3" s="96"/>
      <c r="Z3" s="96"/>
      <c r="AA3" s="96"/>
      <c r="AB3" s="97"/>
      <c r="AC3" s="106" t="s">
        <v>151</v>
      </c>
      <c r="AD3" s="95" t="s">
        <v>7</v>
      </c>
      <c r="AE3" s="96"/>
      <c r="AF3" s="96"/>
      <c r="AG3" s="96"/>
      <c r="AH3" s="97"/>
      <c r="AI3" s="95" t="s">
        <v>8</v>
      </c>
      <c r="AJ3" s="96"/>
      <c r="AK3" s="96"/>
      <c r="AL3" s="96"/>
      <c r="AM3" s="96"/>
      <c r="AN3" s="96"/>
      <c r="AO3" s="96"/>
      <c r="AP3" s="96"/>
      <c r="AQ3" s="97"/>
      <c r="AR3" s="89" t="s">
        <v>9</v>
      </c>
      <c r="AS3" s="90"/>
      <c r="AT3" s="90"/>
      <c r="AU3" s="90"/>
      <c r="AV3" s="90"/>
      <c r="AW3" s="91"/>
      <c r="AX3" s="95" t="s">
        <v>152</v>
      </c>
      <c r="AY3" s="96"/>
      <c r="AZ3" s="96"/>
      <c r="BA3" s="96"/>
    </row>
    <row r="4" spans="1:66" s="23" customFormat="1" ht="16" thickBot="1" x14ac:dyDescent="0.25">
      <c r="A4" s="70"/>
      <c r="B4" s="71"/>
      <c r="C4" s="61"/>
      <c r="D4" s="98"/>
      <c r="E4" s="99"/>
      <c r="F4" s="99"/>
      <c r="G4" s="99"/>
      <c r="H4" s="100"/>
      <c r="I4" s="101" t="s">
        <v>11</v>
      </c>
      <c r="J4" s="104"/>
      <c r="K4" s="104"/>
      <c r="L4" s="104"/>
      <c r="M4" s="105"/>
      <c r="N4" s="101" t="s">
        <v>87</v>
      </c>
      <c r="O4" s="102"/>
      <c r="P4" s="103"/>
      <c r="Q4" s="101" t="s">
        <v>14</v>
      </c>
      <c r="R4" s="102"/>
      <c r="S4" s="102"/>
      <c r="T4" s="102"/>
      <c r="U4" s="18"/>
      <c r="V4" s="14"/>
      <c r="W4" s="16"/>
      <c r="X4" s="98"/>
      <c r="Y4" s="99"/>
      <c r="Z4" s="99"/>
      <c r="AA4" s="99"/>
      <c r="AB4" s="100"/>
      <c r="AC4" s="107"/>
      <c r="AD4" s="98"/>
      <c r="AE4" s="99"/>
      <c r="AF4" s="99"/>
      <c r="AG4" s="99"/>
      <c r="AH4" s="100"/>
      <c r="AI4" s="98"/>
      <c r="AJ4" s="99"/>
      <c r="AK4" s="99"/>
      <c r="AL4" s="99"/>
      <c r="AM4" s="99"/>
      <c r="AN4" s="99"/>
      <c r="AO4" s="99"/>
      <c r="AP4" s="99"/>
      <c r="AQ4" s="100"/>
      <c r="AR4" s="92"/>
      <c r="AS4" s="93"/>
      <c r="AT4" s="93"/>
      <c r="AU4" s="93"/>
      <c r="AV4" s="93"/>
      <c r="AW4" s="94"/>
      <c r="AX4" s="98"/>
      <c r="AY4" s="99"/>
      <c r="AZ4" s="99"/>
      <c r="BA4" s="99"/>
    </row>
    <row r="5" spans="1:66" s="2" customFormat="1" ht="278" thickBot="1" x14ac:dyDescent="0.25">
      <c r="A5" s="73" t="s">
        <v>17</v>
      </c>
      <c r="B5" s="73" t="s">
        <v>149</v>
      </c>
      <c r="C5" s="73" t="s">
        <v>19</v>
      </c>
      <c r="D5" s="77" t="s">
        <v>20</v>
      </c>
      <c r="E5" s="78" t="s">
        <v>141</v>
      </c>
      <c r="F5" s="78" t="s">
        <v>142</v>
      </c>
      <c r="G5" s="78" t="s">
        <v>23</v>
      </c>
      <c r="H5" s="79" t="s">
        <v>24</v>
      </c>
      <c r="I5" s="77" t="s">
        <v>25</v>
      </c>
      <c r="J5" s="78" t="s">
        <v>121</v>
      </c>
      <c r="K5" s="78" t="s">
        <v>122</v>
      </c>
      <c r="L5" s="78" t="s">
        <v>123</v>
      </c>
      <c r="M5" s="78" t="s">
        <v>124</v>
      </c>
      <c r="N5" s="78" t="s">
        <v>26</v>
      </c>
      <c r="O5" s="78" t="s">
        <v>27</v>
      </c>
      <c r="P5" s="78" t="s">
        <v>28</v>
      </c>
      <c r="Q5" s="78" t="s">
        <v>146</v>
      </c>
      <c r="R5" s="78" t="s">
        <v>133</v>
      </c>
      <c r="S5" s="78" t="s">
        <v>134</v>
      </c>
      <c r="T5" s="79" t="s">
        <v>135</v>
      </c>
      <c r="U5" s="80" t="s">
        <v>144</v>
      </c>
      <c r="V5" s="77" t="s">
        <v>105</v>
      </c>
      <c r="W5" s="79" t="s">
        <v>71</v>
      </c>
      <c r="X5" s="77" t="s">
        <v>147</v>
      </c>
      <c r="Y5" s="78" t="s">
        <v>38</v>
      </c>
      <c r="Z5" s="78" t="s">
        <v>140</v>
      </c>
      <c r="AA5" s="78" t="s">
        <v>39</v>
      </c>
      <c r="AB5" s="79" t="s">
        <v>40</v>
      </c>
      <c r="AC5" s="80" t="s">
        <v>143</v>
      </c>
      <c r="AD5" s="77" t="s">
        <v>117</v>
      </c>
      <c r="AE5" s="78" t="s">
        <v>118</v>
      </c>
      <c r="AF5" s="78" t="s">
        <v>119</v>
      </c>
      <c r="AG5" s="78" t="s">
        <v>120</v>
      </c>
      <c r="AH5" s="79" t="s">
        <v>148</v>
      </c>
      <c r="AI5" s="81" t="s">
        <v>46</v>
      </c>
      <c r="AJ5" s="78" t="s">
        <v>47</v>
      </c>
      <c r="AK5" s="78" t="s">
        <v>48</v>
      </c>
      <c r="AL5" s="78" t="s">
        <v>49</v>
      </c>
      <c r="AM5" s="82" t="s">
        <v>50</v>
      </c>
      <c r="AN5" s="78" t="s">
        <v>51</v>
      </c>
      <c r="AO5" s="78" t="s">
        <v>52</v>
      </c>
      <c r="AP5" s="78" t="s">
        <v>103</v>
      </c>
      <c r="AQ5" s="79" t="s">
        <v>53</v>
      </c>
      <c r="AR5" s="77" t="s">
        <v>54</v>
      </c>
      <c r="AS5" s="78" t="s">
        <v>55</v>
      </c>
      <c r="AT5" s="78" t="s">
        <v>56</v>
      </c>
      <c r="AU5" s="78" t="s">
        <v>57</v>
      </c>
      <c r="AV5" s="78" t="s">
        <v>58</v>
      </c>
      <c r="AW5" s="79" t="s">
        <v>59</v>
      </c>
      <c r="AX5" s="77" t="s">
        <v>145</v>
      </c>
      <c r="AY5" s="78" t="s">
        <v>67</v>
      </c>
      <c r="AZ5" s="78" t="s">
        <v>68</v>
      </c>
      <c r="BA5" s="79" t="s">
        <v>69</v>
      </c>
    </row>
    <row r="6" spans="1:66" hidden="1" x14ac:dyDescent="0.2">
      <c r="A6" t="s">
        <v>154</v>
      </c>
      <c r="B6" t="s">
        <v>461</v>
      </c>
      <c r="C6" t="s">
        <v>462</v>
      </c>
      <c r="D6" t="s">
        <v>73</v>
      </c>
      <c r="E6" t="s">
        <v>72</v>
      </c>
      <c r="F6" t="s">
        <v>72</v>
      </c>
      <c r="G6" t="s">
        <v>73</v>
      </c>
      <c r="I6">
        <v>9</v>
      </c>
      <c r="J6">
        <v>6</v>
      </c>
      <c r="L6">
        <v>7</v>
      </c>
      <c r="Q6">
        <v>0</v>
      </c>
      <c r="R6">
        <v>0</v>
      </c>
      <c r="S6">
        <v>0</v>
      </c>
      <c r="T6">
        <v>0</v>
      </c>
      <c r="U6" t="s">
        <v>73</v>
      </c>
      <c r="V6">
        <v>0</v>
      </c>
      <c r="W6">
        <v>0</v>
      </c>
      <c r="X6">
        <v>4</v>
      </c>
      <c r="Y6">
        <v>4</v>
      </c>
      <c r="Z6">
        <v>0</v>
      </c>
      <c r="AA6">
        <v>0</v>
      </c>
      <c r="AB6">
        <v>0</v>
      </c>
      <c r="AC6" t="s">
        <v>73</v>
      </c>
      <c r="AD6">
        <v>0</v>
      </c>
      <c r="AE6">
        <v>0</v>
      </c>
      <c r="AF6">
        <v>0</v>
      </c>
      <c r="AG6">
        <v>0</v>
      </c>
      <c r="AH6">
        <v>0</v>
      </c>
      <c r="AI6">
        <v>120</v>
      </c>
      <c r="AJ6">
        <v>20</v>
      </c>
      <c r="AK6" t="s">
        <v>73</v>
      </c>
      <c r="AL6" t="s">
        <v>73</v>
      </c>
      <c r="AM6" t="s">
        <v>73</v>
      </c>
      <c r="AN6" t="s">
        <v>463</v>
      </c>
      <c r="AO6" s="56">
        <v>46023.737766203703</v>
      </c>
      <c r="AP6" s="56">
        <v>46023.696099537039</v>
      </c>
      <c r="AQ6" t="s">
        <v>73</v>
      </c>
      <c r="AR6" t="s">
        <v>73</v>
      </c>
      <c r="AS6" t="s">
        <v>73</v>
      </c>
      <c r="AT6" t="s">
        <v>73</v>
      </c>
      <c r="AU6" t="s">
        <v>73</v>
      </c>
      <c r="AV6" t="s">
        <v>73</v>
      </c>
      <c r="AW6">
        <v>0</v>
      </c>
      <c r="AX6" t="s">
        <v>73</v>
      </c>
      <c r="AY6" t="s">
        <v>158</v>
      </c>
      <c r="AZ6" t="s">
        <v>158</v>
      </c>
      <c r="BA6" t="s">
        <v>158</v>
      </c>
    </row>
    <row r="7" spans="1:66" hidden="1" x14ac:dyDescent="0.2">
      <c r="A7" t="s">
        <v>154</v>
      </c>
      <c r="B7" t="s">
        <v>457</v>
      </c>
      <c r="C7" t="s">
        <v>458</v>
      </c>
      <c r="D7" t="s">
        <v>73</v>
      </c>
      <c r="E7" t="s">
        <v>72</v>
      </c>
      <c r="F7" t="s">
        <v>73</v>
      </c>
      <c r="G7" t="s">
        <v>73</v>
      </c>
      <c r="I7">
        <v>10</v>
      </c>
      <c r="J7">
        <v>4</v>
      </c>
      <c r="Q7">
        <v>1</v>
      </c>
      <c r="R7">
        <v>1</v>
      </c>
      <c r="S7">
        <v>0</v>
      </c>
      <c r="T7">
        <v>0</v>
      </c>
      <c r="U7" t="s">
        <v>73</v>
      </c>
      <c r="V7">
        <v>0</v>
      </c>
      <c r="W7">
        <v>0</v>
      </c>
      <c r="X7">
        <v>4</v>
      </c>
      <c r="Y7">
        <v>3</v>
      </c>
      <c r="Z7">
        <v>1</v>
      </c>
      <c r="AA7">
        <v>0</v>
      </c>
      <c r="AB7">
        <v>0</v>
      </c>
      <c r="AC7" t="s">
        <v>72</v>
      </c>
      <c r="AD7">
        <v>6</v>
      </c>
      <c r="AE7">
        <v>6</v>
      </c>
      <c r="AF7">
        <v>0</v>
      </c>
      <c r="AG7">
        <v>6</v>
      </c>
      <c r="AH7">
        <v>1</v>
      </c>
      <c r="AI7">
        <v>68</v>
      </c>
      <c r="AJ7">
        <v>12</v>
      </c>
      <c r="AK7" t="s">
        <v>72</v>
      </c>
      <c r="AL7" t="s">
        <v>73</v>
      </c>
      <c r="AM7" t="s">
        <v>73</v>
      </c>
      <c r="AN7" t="s">
        <v>459</v>
      </c>
      <c r="AO7" s="56">
        <v>46023.625138888892</v>
      </c>
      <c r="AP7" s="56">
        <v>46023.583472222221</v>
      </c>
      <c r="AQ7" t="s">
        <v>73</v>
      </c>
      <c r="AR7" t="s">
        <v>73</v>
      </c>
      <c r="AS7" t="s">
        <v>73</v>
      </c>
      <c r="AT7" t="s">
        <v>73</v>
      </c>
      <c r="AU7" t="s">
        <v>73</v>
      </c>
      <c r="AV7" t="s">
        <v>73</v>
      </c>
      <c r="AW7">
        <v>0</v>
      </c>
      <c r="AX7" t="s">
        <v>73</v>
      </c>
      <c r="AY7" t="s">
        <v>158</v>
      </c>
      <c r="AZ7" t="s">
        <v>158</v>
      </c>
      <c r="BA7" t="s">
        <v>158</v>
      </c>
    </row>
    <row r="8" spans="1:66" hidden="1" x14ac:dyDescent="0.2">
      <c r="A8" t="s">
        <v>154</v>
      </c>
      <c r="B8" t="s">
        <v>444</v>
      </c>
      <c r="C8" t="s">
        <v>445</v>
      </c>
      <c r="D8" t="s">
        <v>73</v>
      </c>
      <c r="E8" t="s">
        <v>72</v>
      </c>
      <c r="F8" t="s">
        <v>72</v>
      </c>
      <c r="G8" t="s">
        <v>73</v>
      </c>
      <c r="I8">
        <v>8</v>
      </c>
      <c r="J8">
        <v>7</v>
      </c>
      <c r="Q8">
        <v>0</v>
      </c>
      <c r="R8">
        <v>0</v>
      </c>
      <c r="S8">
        <v>0</v>
      </c>
      <c r="T8">
        <v>0</v>
      </c>
      <c r="U8" t="s">
        <v>73</v>
      </c>
      <c r="V8">
        <v>0</v>
      </c>
      <c r="W8">
        <v>0</v>
      </c>
      <c r="X8">
        <v>0</v>
      </c>
      <c r="Y8">
        <v>0</v>
      </c>
      <c r="Z8">
        <v>0</v>
      </c>
      <c r="AA8">
        <v>0</v>
      </c>
      <c r="AB8">
        <v>0</v>
      </c>
      <c r="AC8" t="s">
        <v>73</v>
      </c>
      <c r="AD8">
        <v>6</v>
      </c>
      <c r="AE8">
        <v>0</v>
      </c>
      <c r="AF8">
        <v>0</v>
      </c>
      <c r="AG8">
        <v>0</v>
      </c>
      <c r="AH8">
        <v>0</v>
      </c>
      <c r="AI8">
        <v>27</v>
      </c>
      <c r="AJ8">
        <v>9</v>
      </c>
      <c r="AK8" t="s">
        <v>72</v>
      </c>
      <c r="AL8" t="s">
        <v>73</v>
      </c>
      <c r="AM8" t="s">
        <v>73</v>
      </c>
      <c r="AN8" t="s">
        <v>446</v>
      </c>
      <c r="AO8" s="56">
        <v>46021.9921412037</v>
      </c>
      <c r="AP8" s="56">
        <v>46044.743888888886</v>
      </c>
      <c r="AQ8" t="s">
        <v>73</v>
      </c>
      <c r="AR8" t="s">
        <v>73</v>
      </c>
      <c r="AS8" t="s">
        <v>73</v>
      </c>
      <c r="AT8" t="s">
        <v>73</v>
      </c>
      <c r="AU8" t="s">
        <v>73</v>
      </c>
      <c r="AV8" t="s">
        <v>73</v>
      </c>
      <c r="AW8">
        <v>0</v>
      </c>
      <c r="AX8" t="s">
        <v>73</v>
      </c>
      <c r="AY8" t="s">
        <v>158</v>
      </c>
      <c r="AZ8" t="s">
        <v>158</v>
      </c>
      <c r="BA8" t="s">
        <v>158</v>
      </c>
    </row>
    <row r="9" spans="1:66" hidden="1" x14ac:dyDescent="0.2">
      <c r="A9" t="s">
        <v>154</v>
      </c>
      <c r="B9" t="s">
        <v>447</v>
      </c>
      <c r="C9" t="s">
        <v>448</v>
      </c>
      <c r="D9" t="s">
        <v>73</v>
      </c>
      <c r="E9" t="s">
        <v>72</v>
      </c>
      <c r="F9" t="s">
        <v>73</v>
      </c>
      <c r="G9" t="s">
        <v>73</v>
      </c>
      <c r="Q9">
        <v>0</v>
      </c>
      <c r="R9">
        <v>0</v>
      </c>
      <c r="S9">
        <v>0</v>
      </c>
      <c r="T9">
        <v>0</v>
      </c>
      <c r="U9" t="s">
        <v>73</v>
      </c>
      <c r="V9">
        <v>0</v>
      </c>
      <c r="W9">
        <v>0</v>
      </c>
      <c r="X9">
        <v>0</v>
      </c>
      <c r="Y9">
        <v>0</v>
      </c>
      <c r="Z9">
        <v>0</v>
      </c>
      <c r="AA9">
        <v>0</v>
      </c>
      <c r="AB9">
        <v>0</v>
      </c>
      <c r="AC9" t="s">
        <v>73</v>
      </c>
      <c r="AD9">
        <v>0</v>
      </c>
      <c r="AE9">
        <v>0</v>
      </c>
      <c r="AF9">
        <v>0</v>
      </c>
      <c r="AG9">
        <v>0</v>
      </c>
      <c r="AH9">
        <v>0</v>
      </c>
      <c r="AI9">
        <v>25</v>
      </c>
      <c r="AJ9">
        <v>5</v>
      </c>
      <c r="AK9" t="s">
        <v>73</v>
      </c>
      <c r="AL9" t="s">
        <v>72</v>
      </c>
      <c r="AM9" t="s">
        <v>73</v>
      </c>
      <c r="AN9" t="s">
        <v>449</v>
      </c>
      <c r="AO9" s="56">
        <v>46021.975057870368</v>
      </c>
      <c r="AP9" s="56">
        <v>46045.782569444447</v>
      </c>
      <c r="AQ9" t="s">
        <v>73</v>
      </c>
      <c r="AR9" t="s">
        <v>73</v>
      </c>
      <c r="AS9" t="s">
        <v>73</v>
      </c>
      <c r="AT9" t="s">
        <v>73</v>
      </c>
      <c r="AU9" t="s">
        <v>73</v>
      </c>
      <c r="AV9" t="s">
        <v>73</v>
      </c>
      <c r="AW9">
        <v>0</v>
      </c>
      <c r="AX9" t="s">
        <v>73</v>
      </c>
      <c r="AY9" t="s">
        <v>158</v>
      </c>
      <c r="AZ9" t="s">
        <v>158</v>
      </c>
      <c r="BA9" t="s">
        <v>158</v>
      </c>
    </row>
    <row r="10" spans="1:66" hidden="1" x14ac:dyDescent="0.2">
      <c r="A10" t="s">
        <v>154</v>
      </c>
      <c r="B10" t="s">
        <v>424</v>
      </c>
      <c r="C10" t="s">
        <v>425</v>
      </c>
      <c r="D10" t="s">
        <v>73</v>
      </c>
      <c r="E10" t="s">
        <v>72</v>
      </c>
      <c r="F10" t="s">
        <v>72</v>
      </c>
      <c r="G10" t="s">
        <v>73</v>
      </c>
      <c r="I10">
        <v>12</v>
      </c>
      <c r="J10">
        <v>4</v>
      </c>
      <c r="Q10">
        <v>0</v>
      </c>
      <c r="R10">
        <v>0</v>
      </c>
      <c r="S10">
        <v>0</v>
      </c>
      <c r="T10">
        <v>0</v>
      </c>
      <c r="U10" t="s">
        <v>73</v>
      </c>
      <c r="V10">
        <v>0</v>
      </c>
      <c r="W10">
        <v>0</v>
      </c>
      <c r="X10">
        <v>0</v>
      </c>
      <c r="Y10">
        <v>0</v>
      </c>
      <c r="Z10">
        <v>0</v>
      </c>
      <c r="AA10">
        <v>0</v>
      </c>
      <c r="AB10">
        <v>0</v>
      </c>
      <c r="AC10" t="s">
        <v>73</v>
      </c>
      <c r="AD10">
        <v>0</v>
      </c>
      <c r="AE10">
        <v>0</v>
      </c>
      <c r="AF10">
        <v>0</v>
      </c>
      <c r="AG10">
        <v>0</v>
      </c>
      <c r="AH10">
        <v>2</v>
      </c>
      <c r="AI10">
        <v>65</v>
      </c>
      <c r="AJ10">
        <v>14</v>
      </c>
      <c r="AK10" t="s">
        <v>72</v>
      </c>
      <c r="AL10" t="s">
        <v>73</v>
      </c>
      <c r="AM10" t="s">
        <v>73</v>
      </c>
      <c r="AN10" t="s">
        <v>426</v>
      </c>
      <c r="AO10" s="56">
        <v>46019.964398148149</v>
      </c>
      <c r="AP10" s="56">
        <v>46019.922731481478</v>
      </c>
      <c r="AQ10" t="s">
        <v>73</v>
      </c>
      <c r="AR10" t="s">
        <v>73</v>
      </c>
      <c r="AS10" t="s">
        <v>73</v>
      </c>
      <c r="AT10" t="s">
        <v>73</v>
      </c>
      <c r="AU10" t="s">
        <v>73</v>
      </c>
      <c r="AV10" t="s">
        <v>73</v>
      </c>
      <c r="AW10">
        <v>0</v>
      </c>
      <c r="AX10" t="s">
        <v>73</v>
      </c>
      <c r="AY10" t="s">
        <v>158</v>
      </c>
      <c r="AZ10" t="s">
        <v>158</v>
      </c>
      <c r="BA10" t="s">
        <v>158</v>
      </c>
    </row>
    <row r="11" spans="1:66" hidden="1" x14ac:dyDescent="0.2">
      <c r="A11" t="s">
        <v>154</v>
      </c>
      <c r="B11" t="s">
        <v>410</v>
      </c>
      <c r="C11" t="s">
        <v>411</v>
      </c>
      <c r="D11" t="s">
        <v>73</v>
      </c>
      <c r="E11" t="s">
        <v>72</v>
      </c>
      <c r="F11" t="s">
        <v>73</v>
      </c>
      <c r="G11" t="s">
        <v>73</v>
      </c>
      <c r="I11">
        <v>4</v>
      </c>
      <c r="J11">
        <v>4</v>
      </c>
      <c r="L11">
        <v>3</v>
      </c>
      <c r="Q11">
        <v>0</v>
      </c>
      <c r="R11">
        <v>0</v>
      </c>
      <c r="S11">
        <v>0</v>
      </c>
      <c r="T11">
        <v>0</v>
      </c>
      <c r="U11" t="s">
        <v>73</v>
      </c>
      <c r="V11">
        <v>0</v>
      </c>
      <c r="W11">
        <v>0</v>
      </c>
      <c r="X11">
        <v>0</v>
      </c>
      <c r="Y11">
        <v>0</v>
      </c>
      <c r="Z11">
        <v>0</v>
      </c>
      <c r="AA11">
        <v>0</v>
      </c>
      <c r="AB11">
        <v>0</v>
      </c>
      <c r="AC11" t="s">
        <v>73</v>
      </c>
      <c r="AD11">
        <v>4</v>
      </c>
      <c r="AE11">
        <v>4</v>
      </c>
      <c r="AF11">
        <v>0</v>
      </c>
      <c r="AG11">
        <v>4</v>
      </c>
      <c r="AH11">
        <v>0</v>
      </c>
      <c r="AI11">
        <v>30</v>
      </c>
      <c r="AJ11">
        <v>6</v>
      </c>
      <c r="AK11" t="s">
        <v>73</v>
      </c>
      <c r="AL11" t="s">
        <v>73</v>
      </c>
      <c r="AM11" t="s">
        <v>73</v>
      </c>
      <c r="AN11" t="s">
        <v>412</v>
      </c>
      <c r="AO11" s="56">
        <v>46019.661631944444</v>
      </c>
      <c r="AP11" s="56">
        <v>46019.61996527778</v>
      </c>
      <c r="AQ11" t="s">
        <v>73</v>
      </c>
      <c r="AR11" t="s">
        <v>73</v>
      </c>
      <c r="AS11" t="s">
        <v>73</v>
      </c>
      <c r="AT11" t="s">
        <v>73</v>
      </c>
      <c r="AU11" t="s">
        <v>73</v>
      </c>
      <c r="AV11" t="s">
        <v>73</v>
      </c>
      <c r="AW11">
        <v>0</v>
      </c>
      <c r="AX11" t="s">
        <v>73</v>
      </c>
      <c r="AY11" t="s">
        <v>158</v>
      </c>
      <c r="AZ11" t="s">
        <v>158</v>
      </c>
      <c r="BA11" t="s">
        <v>158</v>
      </c>
    </row>
    <row r="12" spans="1:66" hidden="1" x14ac:dyDescent="0.2">
      <c r="A12" t="s">
        <v>154</v>
      </c>
      <c r="B12" t="s">
        <v>413</v>
      </c>
      <c r="C12" t="s">
        <v>414</v>
      </c>
      <c r="D12" t="s">
        <v>73</v>
      </c>
      <c r="E12" t="s">
        <v>72</v>
      </c>
      <c r="F12" t="s">
        <v>73</v>
      </c>
      <c r="G12" t="s">
        <v>73</v>
      </c>
      <c r="I12">
        <v>8</v>
      </c>
      <c r="J12">
        <v>6</v>
      </c>
      <c r="L12">
        <v>8</v>
      </c>
      <c r="Q12">
        <v>0</v>
      </c>
      <c r="R12">
        <v>0</v>
      </c>
      <c r="S12">
        <v>0</v>
      </c>
      <c r="T12">
        <v>0</v>
      </c>
      <c r="U12" t="s">
        <v>73</v>
      </c>
      <c r="V12">
        <v>0</v>
      </c>
      <c r="W12">
        <v>0</v>
      </c>
      <c r="X12">
        <v>2</v>
      </c>
      <c r="Y12">
        <v>2</v>
      </c>
      <c r="Z12">
        <v>0</v>
      </c>
      <c r="AA12">
        <v>0</v>
      </c>
      <c r="AB12">
        <v>0</v>
      </c>
      <c r="AC12" t="s">
        <v>73</v>
      </c>
      <c r="AD12">
        <v>6</v>
      </c>
      <c r="AE12">
        <v>6</v>
      </c>
      <c r="AF12">
        <v>0</v>
      </c>
      <c r="AG12">
        <v>6</v>
      </c>
      <c r="AH12">
        <v>2</v>
      </c>
      <c r="AI12">
        <v>120</v>
      </c>
      <c r="AJ12">
        <v>14</v>
      </c>
      <c r="AK12" t="s">
        <v>72</v>
      </c>
      <c r="AL12" t="s">
        <v>72</v>
      </c>
      <c r="AM12" t="s">
        <v>415</v>
      </c>
      <c r="AN12" t="s">
        <v>416</v>
      </c>
      <c r="AO12" s="56">
        <v>46019.654583333337</v>
      </c>
      <c r="AP12" s="56">
        <v>46022.349317129629</v>
      </c>
      <c r="AQ12" t="s">
        <v>73</v>
      </c>
      <c r="AR12" t="s">
        <v>73</v>
      </c>
      <c r="AS12" t="s">
        <v>73</v>
      </c>
      <c r="AT12" t="s">
        <v>73</v>
      </c>
      <c r="AU12" t="s">
        <v>73</v>
      </c>
      <c r="AV12" t="s">
        <v>73</v>
      </c>
      <c r="AW12">
        <v>0</v>
      </c>
      <c r="AX12" t="s">
        <v>73</v>
      </c>
      <c r="AY12" t="s">
        <v>158</v>
      </c>
      <c r="AZ12" t="s">
        <v>158</v>
      </c>
      <c r="BA12" t="s">
        <v>158</v>
      </c>
    </row>
    <row r="13" spans="1:66" hidden="1" x14ac:dyDescent="0.2">
      <c r="A13" t="s">
        <v>154</v>
      </c>
      <c r="B13" t="s">
        <v>394</v>
      </c>
      <c r="C13" t="s">
        <v>395</v>
      </c>
      <c r="D13" t="s">
        <v>73</v>
      </c>
      <c r="E13" t="s">
        <v>72</v>
      </c>
      <c r="F13" t="s">
        <v>73</v>
      </c>
      <c r="G13" t="s">
        <v>73</v>
      </c>
      <c r="I13">
        <v>16</v>
      </c>
      <c r="Q13">
        <v>0</v>
      </c>
      <c r="R13">
        <v>0</v>
      </c>
      <c r="S13">
        <v>0</v>
      </c>
      <c r="T13">
        <v>0</v>
      </c>
      <c r="U13" t="s">
        <v>73</v>
      </c>
      <c r="V13">
        <v>0</v>
      </c>
      <c r="W13">
        <v>0</v>
      </c>
      <c r="X13">
        <v>3</v>
      </c>
      <c r="Y13">
        <v>2</v>
      </c>
      <c r="Z13">
        <v>1</v>
      </c>
      <c r="AA13">
        <v>0</v>
      </c>
      <c r="AB13">
        <v>0</v>
      </c>
      <c r="AC13" t="s">
        <v>73</v>
      </c>
      <c r="AD13">
        <v>4</v>
      </c>
      <c r="AE13">
        <v>4</v>
      </c>
      <c r="AF13">
        <v>0</v>
      </c>
      <c r="AG13">
        <v>5</v>
      </c>
      <c r="AH13">
        <v>0</v>
      </c>
      <c r="AI13">
        <v>110</v>
      </c>
      <c r="AJ13">
        <v>15</v>
      </c>
      <c r="AK13" t="s">
        <v>72</v>
      </c>
      <c r="AL13" t="s">
        <v>72</v>
      </c>
      <c r="AM13" t="s">
        <v>73</v>
      </c>
      <c r="AN13" t="s">
        <v>396</v>
      </c>
      <c r="AO13" s="56">
        <v>46017.53334490741</v>
      </c>
      <c r="AP13" s="56">
        <v>46017.491678240738</v>
      </c>
      <c r="AQ13" t="s">
        <v>73</v>
      </c>
      <c r="AR13" t="s">
        <v>73</v>
      </c>
      <c r="AS13" t="s">
        <v>73</v>
      </c>
      <c r="AT13" t="s">
        <v>73</v>
      </c>
      <c r="AU13" t="s">
        <v>73</v>
      </c>
      <c r="AV13" t="s">
        <v>73</v>
      </c>
      <c r="AW13">
        <v>0</v>
      </c>
      <c r="AX13" t="s">
        <v>73</v>
      </c>
      <c r="AY13" t="s">
        <v>158</v>
      </c>
      <c r="AZ13" t="s">
        <v>158</v>
      </c>
      <c r="BA13" t="s">
        <v>158</v>
      </c>
    </row>
    <row r="14" spans="1:66" hidden="1" x14ac:dyDescent="0.2">
      <c r="A14" t="s">
        <v>154</v>
      </c>
      <c r="B14" t="s">
        <v>343</v>
      </c>
      <c r="C14" t="s">
        <v>344</v>
      </c>
      <c r="D14" t="s">
        <v>73</v>
      </c>
      <c r="E14" t="s">
        <v>72</v>
      </c>
      <c r="F14" t="s">
        <v>72</v>
      </c>
      <c r="G14" t="s">
        <v>73</v>
      </c>
      <c r="I14">
        <v>12</v>
      </c>
      <c r="J14">
        <v>4</v>
      </c>
      <c r="L14">
        <v>9</v>
      </c>
      <c r="N14">
        <v>10</v>
      </c>
      <c r="O14">
        <v>4</v>
      </c>
      <c r="Q14">
        <v>1</v>
      </c>
      <c r="R14">
        <v>0</v>
      </c>
      <c r="S14">
        <v>0</v>
      </c>
      <c r="T14">
        <v>1</v>
      </c>
      <c r="U14" t="s">
        <v>73</v>
      </c>
      <c r="V14">
        <v>0</v>
      </c>
      <c r="W14">
        <v>0</v>
      </c>
      <c r="X14">
        <v>3</v>
      </c>
      <c r="Y14">
        <v>3</v>
      </c>
      <c r="Z14">
        <v>0</v>
      </c>
      <c r="AA14">
        <v>0</v>
      </c>
      <c r="AB14">
        <v>0</v>
      </c>
      <c r="AC14" t="s">
        <v>72</v>
      </c>
      <c r="AD14">
        <v>6</v>
      </c>
      <c r="AE14">
        <v>6</v>
      </c>
      <c r="AF14">
        <v>0</v>
      </c>
      <c r="AG14">
        <v>0</v>
      </c>
      <c r="AH14">
        <v>2</v>
      </c>
      <c r="AI14">
        <v>125</v>
      </c>
      <c r="AJ14">
        <v>20</v>
      </c>
      <c r="AK14" t="s">
        <v>72</v>
      </c>
      <c r="AL14" t="s">
        <v>72</v>
      </c>
      <c r="AM14" t="s">
        <v>73</v>
      </c>
      <c r="AN14" t="s">
        <v>345</v>
      </c>
      <c r="AO14" s="56">
        <v>46013.470543981479</v>
      </c>
      <c r="AP14" s="56">
        <v>46044.744247685187</v>
      </c>
      <c r="AQ14" t="s">
        <v>73</v>
      </c>
      <c r="AR14" t="s">
        <v>73</v>
      </c>
      <c r="AS14" t="s">
        <v>73</v>
      </c>
      <c r="AT14" t="s">
        <v>73</v>
      </c>
      <c r="AU14" t="s">
        <v>73</v>
      </c>
      <c r="AV14" t="s">
        <v>73</v>
      </c>
      <c r="AW14">
        <v>0</v>
      </c>
      <c r="AX14" t="s">
        <v>73</v>
      </c>
      <c r="AY14" t="s">
        <v>158</v>
      </c>
      <c r="AZ14" t="s">
        <v>158</v>
      </c>
      <c r="BA14" t="s">
        <v>158</v>
      </c>
    </row>
    <row r="15" spans="1:66" hidden="1" x14ac:dyDescent="0.2">
      <c r="A15" t="s">
        <v>154</v>
      </c>
      <c r="B15" t="s">
        <v>322</v>
      </c>
      <c r="C15" t="s">
        <v>323</v>
      </c>
      <c r="D15" t="s">
        <v>73</v>
      </c>
      <c r="E15" t="s">
        <v>72</v>
      </c>
      <c r="F15" t="s">
        <v>72</v>
      </c>
      <c r="G15" t="s">
        <v>73</v>
      </c>
      <c r="I15">
        <v>6</v>
      </c>
      <c r="Q15">
        <v>3</v>
      </c>
      <c r="R15">
        <v>2</v>
      </c>
      <c r="S15">
        <v>1</v>
      </c>
      <c r="T15">
        <v>0</v>
      </c>
      <c r="U15" t="s">
        <v>73</v>
      </c>
      <c r="V15">
        <v>0</v>
      </c>
      <c r="W15">
        <v>0</v>
      </c>
      <c r="X15">
        <v>0</v>
      </c>
      <c r="Y15">
        <v>0</v>
      </c>
      <c r="Z15">
        <v>0</v>
      </c>
      <c r="AA15">
        <v>0</v>
      </c>
      <c r="AB15">
        <v>0</v>
      </c>
      <c r="AC15" t="s">
        <v>72</v>
      </c>
      <c r="AD15">
        <v>6</v>
      </c>
      <c r="AE15">
        <v>6</v>
      </c>
      <c r="AF15">
        <v>0</v>
      </c>
      <c r="AG15">
        <v>6</v>
      </c>
      <c r="AH15">
        <v>0</v>
      </c>
      <c r="AI15">
        <v>55</v>
      </c>
      <c r="AJ15">
        <v>1</v>
      </c>
      <c r="AK15" t="s">
        <v>73</v>
      </c>
      <c r="AL15" t="s">
        <v>73</v>
      </c>
      <c r="AM15" t="s">
        <v>73</v>
      </c>
      <c r="AN15" t="s">
        <v>328</v>
      </c>
      <c r="AO15" s="56">
        <v>46011.7966087963</v>
      </c>
      <c r="AP15" s="56">
        <v>46011.754942129628</v>
      </c>
      <c r="AQ15" t="s">
        <v>73</v>
      </c>
      <c r="AR15" t="s">
        <v>73</v>
      </c>
      <c r="AS15" t="s">
        <v>73</v>
      </c>
      <c r="AT15" t="s">
        <v>73</v>
      </c>
      <c r="AU15" t="s">
        <v>73</v>
      </c>
      <c r="AV15" t="s">
        <v>73</v>
      </c>
      <c r="AW15">
        <v>0</v>
      </c>
      <c r="AX15" t="s">
        <v>73</v>
      </c>
      <c r="AY15" t="s">
        <v>158</v>
      </c>
      <c r="AZ15" t="s">
        <v>158</v>
      </c>
      <c r="BA15" t="s">
        <v>158</v>
      </c>
    </row>
    <row r="16" spans="1:66" hidden="1" x14ac:dyDescent="0.2">
      <c r="A16" t="s">
        <v>154</v>
      </c>
      <c r="B16" t="s">
        <v>316</v>
      </c>
      <c r="C16" t="s">
        <v>317</v>
      </c>
      <c r="D16" t="s">
        <v>73</v>
      </c>
      <c r="E16" t="s">
        <v>72</v>
      </c>
      <c r="F16" t="s">
        <v>73</v>
      </c>
      <c r="G16" t="s">
        <v>73</v>
      </c>
      <c r="I16">
        <v>9</v>
      </c>
      <c r="J16">
        <v>9</v>
      </c>
      <c r="L16">
        <v>5</v>
      </c>
      <c r="Q16">
        <v>0</v>
      </c>
      <c r="R16">
        <v>0</v>
      </c>
      <c r="S16">
        <v>0</v>
      </c>
      <c r="T16">
        <v>0</v>
      </c>
      <c r="U16" t="s">
        <v>73</v>
      </c>
      <c r="V16">
        <v>0</v>
      </c>
      <c r="W16">
        <v>0</v>
      </c>
      <c r="X16">
        <v>0</v>
      </c>
      <c r="Y16">
        <v>0</v>
      </c>
      <c r="Z16">
        <v>0</v>
      </c>
      <c r="AA16">
        <v>0</v>
      </c>
      <c r="AB16">
        <v>0</v>
      </c>
      <c r="AC16" t="s">
        <v>73</v>
      </c>
      <c r="AD16">
        <v>6</v>
      </c>
      <c r="AE16">
        <v>6</v>
      </c>
      <c r="AF16">
        <v>0</v>
      </c>
      <c r="AG16">
        <v>6</v>
      </c>
      <c r="AH16">
        <v>2</v>
      </c>
      <c r="AI16">
        <v>75</v>
      </c>
      <c r="AJ16">
        <v>20</v>
      </c>
      <c r="AK16" t="s">
        <v>73</v>
      </c>
      <c r="AL16" t="s">
        <v>72</v>
      </c>
      <c r="AM16" t="s">
        <v>73</v>
      </c>
      <c r="AN16" t="s">
        <v>318</v>
      </c>
      <c r="AO16" s="56">
        <v>46011.580370370371</v>
      </c>
      <c r="AP16" s="56">
        <v>46011.538703703707</v>
      </c>
      <c r="AQ16" t="s">
        <v>73</v>
      </c>
      <c r="AR16" t="s">
        <v>73</v>
      </c>
      <c r="AS16" t="s">
        <v>73</v>
      </c>
      <c r="AT16" t="s">
        <v>73</v>
      </c>
      <c r="AU16" t="s">
        <v>73</v>
      </c>
      <c r="AV16" t="s">
        <v>73</v>
      </c>
      <c r="AW16">
        <v>0</v>
      </c>
      <c r="AX16" t="s">
        <v>73</v>
      </c>
      <c r="AY16" t="s">
        <v>158</v>
      </c>
      <c r="AZ16" t="s">
        <v>158</v>
      </c>
      <c r="BA16" t="s">
        <v>158</v>
      </c>
    </row>
    <row r="17" spans="1:53" hidden="1" x14ac:dyDescent="0.2">
      <c r="A17" t="s">
        <v>154</v>
      </c>
      <c r="B17" t="s">
        <v>271</v>
      </c>
      <c r="C17" t="s">
        <v>272</v>
      </c>
      <c r="D17" t="s">
        <v>73</v>
      </c>
      <c r="E17" t="s">
        <v>72</v>
      </c>
      <c r="F17" t="s">
        <v>73</v>
      </c>
      <c r="G17" t="s">
        <v>73</v>
      </c>
      <c r="I17">
        <v>5</v>
      </c>
      <c r="J17">
        <v>5</v>
      </c>
      <c r="Q17">
        <v>0</v>
      </c>
      <c r="R17">
        <v>0</v>
      </c>
      <c r="S17">
        <v>0</v>
      </c>
      <c r="T17">
        <v>0</v>
      </c>
      <c r="U17" t="s">
        <v>73</v>
      </c>
      <c r="V17">
        <v>0</v>
      </c>
      <c r="W17">
        <v>0</v>
      </c>
      <c r="X17">
        <v>7</v>
      </c>
      <c r="Y17">
        <v>5</v>
      </c>
      <c r="Z17">
        <v>1</v>
      </c>
      <c r="AA17">
        <v>1</v>
      </c>
      <c r="AB17">
        <v>0</v>
      </c>
      <c r="AC17" t="s">
        <v>73</v>
      </c>
      <c r="AD17">
        <v>3</v>
      </c>
      <c r="AE17">
        <v>3</v>
      </c>
      <c r="AF17">
        <v>0</v>
      </c>
      <c r="AG17">
        <v>3</v>
      </c>
      <c r="AH17">
        <v>0</v>
      </c>
      <c r="AI17">
        <v>45</v>
      </c>
      <c r="AJ17">
        <v>10</v>
      </c>
      <c r="AK17" t="s">
        <v>73</v>
      </c>
      <c r="AL17" t="s">
        <v>73</v>
      </c>
      <c r="AM17" t="s">
        <v>73</v>
      </c>
      <c r="AN17" t="s">
        <v>273</v>
      </c>
      <c r="AO17" s="56">
        <v>46006.608807870369</v>
      </c>
      <c r="AP17" s="56">
        <v>46006.567141203705</v>
      </c>
      <c r="AQ17" t="s">
        <v>73</v>
      </c>
      <c r="AR17" t="s">
        <v>73</v>
      </c>
      <c r="AS17" t="s">
        <v>73</v>
      </c>
      <c r="AT17" t="s">
        <v>73</v>
      </c>
      <c r="AU17" t="s">
        <v>73</v>
      </c>
      <c r="AV17" t="s">
        <v>73</v>
      </c>
      <c r="AW17">
        <v>0</v>
      </c>
      <c r="AX17" t="s">
        <v>73</v>
      </c>
      <c r="AY17" t="s">
        <v>158</v>
      </c>
      <c r="AZ17" t="s">
        <v>158</v>
      </c>
      <c r="BA17" t="s">
        <v>158</v>
      </c>
    </row>
    <row r="18" spans="1:53" hidden="1" x14ac:dyDescent="0.2">
      <c r="A18" t="s">
        <v>154</v>
      </c>
      <c r="B18" t="s">
        <v>238</v>
      </c>
      <c r="C18" t="s">
        <v>239</v>
      </c>
      <c r="D18" t="s">
        <v>73</v>
      </c>
      <c r="E18" t="s">
        <v>72</v>
      </c>
      <c r="F18" t="s">
        <v>72</v>
      </c>
      <c r="G18" t="s">
        <v>73</v>
      </c>
      <c r="I18">
        <v>14</v>
      </c>
      <c r="J18">
        <v>10</v>
      </c>
      <c r="L18">
        <v>4</v>
      </c>
      <c r="Q18">
        <v>0</v>
      </c>
      <c r="R18">
        <v>0</v>
      </c>
      <c r="S18">
        <v>0</v>
      </c>
      <c r="T18">
        <v>0</v>
      </c>
      <c r="U18" t="s">
        <v>73</v>
      </c>
      <c r="V18">
        <v>0</v>
      </c>
      <c r="W18">
        <v>0</v>
      </c>
      <c r="X18">
        <v>0</v>
      </c>
      <c r="Y18">
        <v>0</v>
      </c>
      <c r="Z18">
        <v>0</v>
      </c>
      <c r="AA18">
        <v>0</v>
      </c>
      <c r="AB18">
        <v>0</v>
      </c>
      <c r="AC18" t="s">
        <v>73</v>
      </c>
      <c r="AD18">
        <v>4</v>
      </c>
      <c r="AE18">
        <v>4</v>
      </c>
      <c r="AF18">
        <v>0</v>
      </c>
      <c r="AG18">
        <v>4</v>
      </c>
      <c r="AH18">
        <v>0</v>
      </c>
      <c r="AI18">
        <v>60</v>
      </c>
      <c r="AJ18">
        <v>12</v>
      </c>
      <c r="AK18" t="s">
        <v>73</v>
      </c>
      <c r="AL18" t="s">
        <v>73</v>
      </c>
      <c r="AM18" t="s">
        <v>73</v>
      </c>
      <c r="AN18" t="s">
        <v>240</v>
      </c>
      <c r="AO18" s="56">
        <v>46004.44740740741</v>
      </c>
      <c r="AP18" s="56">
        <v>46004.405740740738</v>
      </c>
      <c r="AQ18" t="s">
        <v>73</v>
      </c>
      <c r="AR18" t="s">
        <v>73</v>
      </c>
      <c r="AS18" t="s">
        <v>73</v>
      </c>
      <c r="AT18" t="s">
        <v>73</v>
      </c>
      <c r="AU18" t="s">
        <v>73</v>
      </c>
      <c r="AV18" t="s">
        <v>73</v>
      </c>
      <c r="AW18">
        <v>0</v>
      </c>
      <c r="AX18" t="s">
        <v>73</v>
      </c>
      <c r="AY18" t="s">
        <v>158</v>
      </c>
      <c r="AZ18" t="s">
        <v>158</v>
      </c>
      <c r="BA18" t="s">
        <v>158</v>
      </c>
    </row>
    <row r="19" spans="1:53" hidden="1" x14ac:dyDescent="0.2">
      <c r="A19" t="s">
        <v>154</v>
      </c>
      <c r="B19" t="s">
        <v>209</v>
      </c>
      <c r="C19" t="s">
        <v>210</v>
      </c>
      <c r="D19" t="s">
        <v>73</v>
      </c>
      <c r="E19" t="s">
        <v>72</v>
      </c>
      <c r="F19" t="s">
        <v>72</v>
      </c>
      <c r="G19" t="s">
        <v>73</v>
      </c>
      <c r="I19">
        <v>8</v>
      </c>
      <c r="J19">
        <v>4</v>
      </c>
      <c r="N19">
        <v>4</v>
      </c>
      <c r="Q19">
        <v>3</v>
      </c>
      <c r="R19">
        <v>1</v>
      </c>
      <c r="S19">
        <v>2</v>
      </c>
      <c r="T19">
        <v>0</v>
      </c>
      <c r="U19" t="s">
        <v>73</v>
      </c>
      <c r="V19">
        <v>0</v>
      </c>
      <c r="W19">
        <v>0</v>
      </c>
      <c r="X19">
        <v>8</v>
      </c>
      <c r="Y19">
        <v>6</v>
      </c>
      <c r="Z19">
        <v>1</v>
      </c>
      <c r="AA19">
        <v>0</v>
      </c>
      <c r="AB19">
        <v>1</v>
      </c>
      <c r="AC19" t="s">
        <v>73</v>
      </c>
      <c r="AD19">
        <v>6</v>
      </c>
      <c r="AE19">
        <v>0</v>
      </c>
      <c r="AF19">
        <v>0</v>
      </c>
      <c r="AG19">
        <v>6</v>
      </c>
      <c r="AH19">
        <v>1</v>
      </c>
      <c r="AI19">
        <v>75</v>
      </c>
      <c r="AJ19">
        <v>27</v>
      </c>
      <c r="AK19" t="s">
        <v>72</v>
      </c>
      <c r="AL19" t="s">
        <v>73</v>
      </c>
      <c r="AM19" t="s">
        <v>73</v>
      </c>
      <c r="AN19" t="s">
        <v>222</v>
      </c>
      <c r="AO19" s="56">
        <v>46002.949131944442</v>
      </c>
      <c r="AP19" s="56">
        <v>46046.450266203705</v>
      </c>
      <c r="AQ19" t="s">
        <v>73</v>
      </c>
      <c r="AR19" t="s">
        <v>73</v>
      </c>
      <c r="AS19" t="s">
        <v>73</v>
      </c>
      <c r="AT19" t="s">
        <v>73</v>
      </c>
      <c r="AU19" t="s">
        <v>73</v>
      </c>
      <c r="AV19" t="s">
        <v>73</v>
      </c>
      <c r="AW19">
        <v>0</v>
      </c>
      <c r="AX19" t="s">
        <v>73</v>
      </c>
      <c r="AY19" t="s">
        <v>158</v>
      </c>
      <c r="AZ19" t="s">
        <v>158</v>
      </c>
      <c r="BA19" t="s">
        <v>158</v>
      </c>
    </row>
    <row r="20" spans="1:53" hidden="1" x14ac:dyDescent="0.2">
      <c r="A20" t="s">
        <v>154</v>
      </c>
      <c r="B20" t="s">
        <v>199</v>
      </c>
      <c r="C20" t="s">
        <v>200</v>
      </c>
      <c r="D20" t="s">
        <v>73</v>
      </c>
      <c r="E20" t="s">
        <v>72</v>
      </c>
      <c r="F20" t="s">
        <v>73</v>
      </c>
      <c r="G20" t="s">
        <v>73</v>
      </c>
      <c r="I20">
        <v>4</v>
      </c>
      <c r="Q20">
        <v>0</v>
      </c>
      <c r="R20">
        <v>0</v>
      </c>
      <c r="S20">
        <v>0</v>
      </c>
      <c r="T20">
        <v>0</v>
      </c>
      <c r="U20" t="s">
        <v>73</v>
      </c>
      <c r="V20">
        <v>0</v>
      </c>
      <c r="W20">
        <v>0</v>
      </c>
      <c r="X20">
        <v>0</v>
      </c>
      <c r="Y20">
        <v>0</v>
      </c>
      <c r="Z20">
        <v>0</v>
      </c>
      <c r="AA20">
        <v>0</v>
      </c>
      <c r="AB20">
        <v>0</v>
      </c>
      <c r="AC20" t="s">
        <v>72</v>
      </c>
      <c r="AD20">
        <v>6</v>
      </c>
      <c r="AE20">
        <v>6</v>
      </c>
      <c r="AF20">
        <v>0</v>
      </c>
      <c r="AG20">
        <v>6</v>
      </c>
      <c r="AH20">
        <v>0</v>
      </c>
      <c r="AI20">
        <v>30</v>
      </c>
      <c r="AJ20">
        <v>0</v>
      </c>
      <c r="AK20" t="s">
        <v>73</v>
      </c>
      <c r="AL20" t="s">
        <v>73</v>
      </c>
      <c r="AM20" t="s">
        <v>73</v>
      </c>
      <c r="AN20" t="s">
        <v>201</v>
      </c>
      <c r="AO20" s="56">
        <v>46000.938506944447</v>
      </c>
      <c r="AP20" s="56">
        <v>46000.896840277775</v>
      </c>
      <c r="AQ20" t="s">
        <v>73</v>
      </c>
      <c r="AR20" t="s">
        <v>73</v>
      </c>
      <c r="AS20" t="s">
        <v>73</v>
      </c>
      <c r="AT20" t="s">
        <v>73</v>
      </c>
      <c r="AU20" t="s">
        <v>73</v>
      </c>
      <c r="AV20" t="s">
        <v>73</v>
      </c>
      <c r="AW20">
        <v>0</v>
      </c>
      <c r="AX20" t="s">
        <v>73</v>
      </c>
      <c r="AY20" t="s">
        <v>158</v>
      </c>
      <c r="AZ20" t="s">
        <v>158</v>
      </c>
      <c r="BA20" t="s">
        <v>158</v>
      </c>
    </row>
    <row r="21" spans="1:53" hidden="1" x14ac:dyDescent="0.2">
      <c r="A21" t="s">
        <v>154</v>
      </c>
      <c r="B21" t="s">
        <v>162</v>
      </c>
      <c r="C21" t="s">
        <v>163</v>
      </c>
      <c r="D21" t="s">
        <v>73</v>
      </c>
      <c r="E21" t="s">
        <v>72</v>
      </c>
      <c r="F21" t="s">
        <v>72</v>
      </c>
      <c r="G21" t="s">
        <v>73</v>
      </c>
      <c r="I21">
        <v>8</v>
      </c>
      <c r="Q21">
        <v>0</v>
      </c>
      <c r="R21">
        <v>0</v>
      </c>
      <c r="S21">
        <v>0</v>
      </c>
      <c r="T21">
        <v>0</v>
      </c>
      <c r="U21" t="s">
        <v>73</v>
      </c>
      <c r="V21">
        <v>0</v>
      </c>
      <c r="W21">
        <v>0</v>
      </c>
      <c r="X21">
        <v>3</v>
      </c>
      <c r="Y21">
        <v>3</v>
      </c>
      <c r="Z21">
        <v>0</v>
      </c>
      <c r="AA21">
        <v>0</v>
      </c>
      <c r="AB21">
        <v>0</v>
      </c>
      <c r="AC21" t="s">
        <v>72</v>
      </c>
      <c r="AD21">
        <v>6</v>
      </c>
      <c r="AE21">
        <v>4</v>
      </c>
      <c r="AF21">
        <v>0</v>
      </c>
      <c r="AG21">
        <v>6</v>
      </c>
      <c r="AH21">
        <v>0</v>
      </c>
      <c r="AI21">
        <v>60</v>
      </c>
      <c r="AJ21">
        <v>6</v>
      </c>
      <c r="AK21" t="s">
        <v>72</v>
      </c>
      <c r="AL21" t="s">
        <v>72</v>
      </c>
      <c r="AM21" t="s">
        <v>73</v>
      </c>
      <c r="AN21" t="s">
        <v>164</v>
      </c>
      <c r="AO21" s="56">
        <v>45993.926157407404</v>
      </c>
      <c r="AP21" s="56">
        <v>45993.88449074074</v>
      </c>
      <c r="AQ21" t="s">
        <v>73</v>
      </c>
      <c r="AR21" t="s">
        <v>73</v>
      </c>
      <c r="AS21" t="s">
        <v>73</v>
      </c>
      <c r="AT21" t="s">
        <v>73</v>
      </c>
      <c r="AU21" t="s">
        <v>73</v>
      </c>
      <c r="AV21" t="s">
        <v>73</v>
      </c>
      <c r="AW21">
        <v>0</v>
      </c>
      <c r="AX21" t="s">
        <v>73</v>
      </c>
      <c r="AY21" t="s">
        <v>158</v>
      </c>
      <c r="AZ21" t="s">
        <v>158</v>
      </c>
      <c r="BA21" t="s">
        <v>158</v>
      </c>
    </row>
    <row r="22" spans="1:53" x14ac:dyDescent="0.2">
      <c r="A22" t="s">
        <v>79</v>
      </c>
      <c r="C22">
        <f>SUBTOTAL(103,KDL[Naam vereniging])</f>
        <v>0</v>
      </c>
      <c r="D22" s="1">
        <f>COUNTIF(KDL[Delegatie],"x")</f>
        <v>0</v>
      </c>
      <c r="E22" s="1">
        <f>COUNTIF(KDL[Muziekkorps tijdens mars en defilé],"x")</f>
        <v>16</v>
      </c>
      <c r="F22" s="1">
        <f>COUNTIF(KDL[Deelname jeugdkoningschieten],"x")</f>
        <v>8</v>
      </c>
      <c r="G22" s="7">
        <f>COUNTIF(KDL[Maj. Senioren jureren bij mars],"x")</f>
        <v>0</v>
      </c>
      <c r="H22" s="7">
        <f>COUNTIF(KDL[Maj. Jeugd jureren bij mars],"x")</f>
        <v>0</v>
      </c>
      <c r="I22" s="1">
        <f>SUBTOTAL(109,KDL[Korps senioren])</f>
        <v>0</v>
      </c>
      <c r="J22" s="1">
        <f>SUBTOTAL(109,KDL[Junioren korps 1])</f>
        <v>0</v>
      </c>
      <c r="K22" s="1">
        <f>SUBTOTAL(109,KDL[Junioren korps 2])</f>
        <v>0</v>
      </c>
      <c r="L22" s="1">
        <f>SUBTOTAL(109,KDL[Aspiranten korps 1])</f>
        <v>0</v>
      </c>
      <c r="M22" s="1">
        <f>SUBTOTAL(109,KDL[Aspiranten korps 2])</f>
        <v>0</v>
      </c>
      <c r="N22" s="1">
        <f>SUBTOTAL(109,KDL[Acrobatisch senioren])</f>
        <v>0</v>
      </c>
      <c r="O22" s="1">
        <f>SUBTOTAL(109,KDL[Acrobatisch junioren])</f>
        <v>0</v>
      </c>
      <c r="P22" s="1">
        <f>SUBTOTAL(109,KDL[Acrobatisch aspiranten])</f>
        <v>0</v>
      </c>
      <c r="Q22">
        <f>SUBTOTAL(109,KDL[Opgeven vendeliers ind.])</f>
        <v>0</v>
      </c>
      <c r="R22">
        <f>SUBTOTAL(109,KDL[Acrob. senioren indiv.])</f>
        <v>0</v>
      </c>
      <c r="S22">
        <f>SUBTOTAL(109,KDL[Acrob. junioren indiv.])</f>
        <v>0</v>
      </c>
      <c r="T22">
        <f>SUBTOTAL(109,KDL[Acrob. aspiranten indiv.])</f>
        <v>0</v>
      </c>
      <c r="U22" s="7">
        <f>COUNTIF(KDL[Deelname hoofdkorps],"x")</f>
        <v>0</v>
      </c>
      <c r="V22" s="1">
        <f>SUBTOTAL(109,KDL[Groepen, teams, ensembles en duo''s])</f>
        <v>0</v>
      </c>
      <c r="W22" s="1">
        <f>SUBTOTAL(109,KDL[Aantal opgegeven majorettes])</f>
        <v>0</v>
      </c>
      <c r="X22">
        <f>SUBTOTAL(109,KDL[Opgeven bielemannen])</f>
        <v>0</v>
      </c>
      <c r="Y22" s="1">
        <f>SUBTOTAL(109,KDL[Senioren])</f>
        <v>0</v>
      </c>
      <c r="Z22" s="1">
        <f>SUBTOTAL(109,KDL[Jong Volwassene])</f>
        <v>0</v>
      </c>
      <c r="AA22" s="1">
        <f>SUBTOTAL(109,KDL[Junioren])</f>
        <v>0</v>
      </c>
      <c r="AB22" s="1">
        <f>SUBTOTAL(109,KDL[Aspiranten])</f>
        <v>0</v>
      </c>
      <c r="AC22" s="7">
        <f>COUNTIF(KDL[Deelname marketentsters],"x")</f>
        <v>5</v>
      </c>
      <c r="AD22">
        <f>SUBTOTAL(109,KDL[Aantal luchtgeweerschutters])</f>
        <v>0</v>
      </c>
      <c r="AE22" s="1">
        <f>SUBTOTAL(109,KDL[Aantal luchtpistoolschutters])</f>
        <v>0</v>
      </c>
      <c r="AF22">
        <f>SUBTOTAL(109,KDL[Aantal handboogschutters])</f>
        <v>0</v>
      </c>
      <c r="AG22" s="1">
        <f>SUBTOTAL(109,KDL[Aantal kruisboogschutters])</f>
        <v>0</v>
      </c>
      <c r="AH22">
        <f>SUBTOTAL(109,KDL[(Aantal jeugdkorpsen])</f>
        <v>0</v>
      </c>
      <c r="AI22" s="1">
        <f>SUBTOTAL(109,KDL[Totaal aantal deelnemers])</f>
        <v>0</v>
      </c>
      <c r="AJ22" s="1">
        <f>SUBTOTAL(109,KDL[Waarvan aantal jeugd (t/m 15 jaar)])</f>
        <v>0</v>
      </c>
      <c r="AK22" s="55">
        <f>COUNTIF(KDL[Kanon etc.],"x")</f>
        <v>8</v>
      </c>
      <c r="AL22" s="1">
        <f>COUNTIF(KDL[Paarden en/of koetsen],"x")</f>
        <v>6</v>
      </c>
      <c r="AM22" s="44"/>
      <c r="AN22" s="1"/>
      <c r="AO22" s="1"/>
      <c r="AP22" s="1"/>
      <c r="AQ22" s="1"/>
      <c r="AR22" s="1"/>
      <c r="AS22" s="1"/>
      <c r="AT22" s="1"/>
      <c r="AU22" s="1"/>
      <c r="AV22" s="1"/>
      <c r="AW22" s="1">
        <f>SUBTOTAL(109,KDL[Korps bestaat uit ... deelnemers (hoofdkorps)])</f>
        <v>0</v>
      </c>
      <c r="AY22" s="1"/>
      <c r="AZ22" s="1"/>
      <c r="BA22" s="1"/>
    </row>
    <row r="24" spans="1:53" x14ac:dyDescent="0.2">
      <c r="C24" s="88"/>
    </row>
    <row r="25" spans="1:53" x14ac:dyDescent="0.2">
      <c r="B25" s="87"/>
      <c r="C25" s="87"/>
    </row>
  </sheetData>
  <mergeCells count="13">
    <mergeCell ref="A1:BA1"/>
    <mergeCell ref="A2:BA2"/>
    <mergeCell ref="D3:H4"/>
    <mergeCell ref="J3:T3"/>
    <mergeCell ref="X3:AB4"/>
    <mergeCell ref="AC3:AC4"/>
    <mergeCell ref="AD3:AH4"/>
    <mergeCell ref="AI3:AQ4"/>
    <mergeCell ref="AR3:AW4"/>
    <mergeCell ref="AX3:BA4"/>
    <mergeCell ref="I4:M4"/>
    <mergeCell ref="N4:P4"/>
    <mergeCell ref="Q4:T4"/>
  </mergeCells>
  <phoneticPr fontId="2" type="noConversion"/>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740E9-934D-46C6-9E7F-C57A0A7E69F5}">
  <dimension ref="A1:BA28"/>
  <sheetViews>
    <sheetView zoomScale="110" zoomScaleNormal="110" workbookViewId="0">
      <pane xSplit="3" ySplit="4" topLeftCell="J5" activePane="bottomRight" state="frozen"/>
      <selection pane="topRight" activeCell="D1" sqref="D1"/>
      <selection pane="bottomLeft" activeCell="A7" sqref="A7"/>
      <selection pane="bottomRight" activeCell="Y27" sqref="Y27:AB27"/>
    </sheetView>
  </sheetViews>
  <sheetFormatPr baseColWidth="10" defaultColWidth="9.1640625" defaultRowHeight="15" x14ac:dyDescent="0.2"/>
  <cols>
    <col min="1" max="1" width="11" bestFit="1" customWidth="1"/>
    <col min="2" max="2" width="9.1640625" bestFit="1" customWidth="1"/>
    <col min="3" max="3" width="58.83203125" bestFit="1" customWidth="1"/>
    <col min="4" max="8" width="3.6640625" style="1" bestFit="1" customWidth="1"/>
    <col min="9" max="9" width="4.1640625" style="1" bestFit="1" customWidth="1"/>
    <col min="10" max="34" width="3.6640625" style="1" bestFit="1" customWidth="1"/>
    <col min="35" max="36" width="4.1640625" style="1" bestFit="1" customWidth="1"/>
    <col min="37" max="38" width="3.6640625" style="1" bestFit="1" customWidth="1"/>
    <col min="39" max="39" width="60.5" bestFit="1" customWidth="1"/>
    <col min="40" max="40" width="5.1640625" style="1" bestFit="1" customWidth="1"/>
    <col min="41" max="42" width="15" style="1" bestFit="1" customWidth="1"/>
    <col min="43" max="43" width="35.33203125" style="1" bestFit="1" customWidth="1"/>
    <col min="44" max="44" width="21.83203125" style="1" bestFit="1" customWidth="1"/>
    <col min="45" max="46" width="31" style="1" bestFit="1" customWidth="1"/>
    <col min="47" max="47" width="20.6640625" style="1" bestFit="1" customWidth="1"/>
    <col min="48" max="48" width="25.33203125" style="1" bestFit="1" customWidth="1"/>
    <col min="49" max="49" width="4.1640625" style="1" bestFit="1" customWidth="1"/>
    <col min="50" max="50" width="3.6640625" style="1" bestFit="1" customWidth="1"/>
    <col min="51" max="51" width="50" style="1" bestFit="1" customWidth="1"/>
    <col min="52" max="52" width="49.33203125" style="1" bestFit="1" customWidth="1"/>
    <col min="53" max="53" width="41.83203125" style="1" bestFit="1" customWidth="1"/>
  </cols>
  <sheetData>
    <row r="1" spans="1:53" ht="27" customHeight="1" x14ac:dyDescent="0.2">
      <c r="A1" s="108" t="s">
        <v>82</v>
      </c>
      <c r="B1" s="108"/>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08"/>
      <c r="AD1" s="108"/>
      <c r="AE1" s="108"/>
      <c r="AF1" s="108"/>
      <c r="AG1" s="108"/>
      <c r="AH1" s="108"/>
      <c r="AI1" s="108"/>
      <c r="AJ1" s="108"/>
      <c r="AK1" s="108"/>
      <c r="AL1" s="108"/>
      <c r="AM1" s="108"/>
      <c r="AN1" s="108"/>
      <c r="AO1" s="108"/>
      <c r="AP1" s="108"/>
      <c r="AQ1" s="108"/>
      <c r="AR1" s="108"/>
      <c r="AS1" s="108"/>
      <c r="AT1" s="108"/>
      <c r="AU1" s="108"/>
      <c r="AV1" s="108"/>
      <c r="AW1" s="108"/>
      <c r="AX1" s="108"/>
      <c r="AY1" s="108"/>
      <c r="AZ1" s="108"/>
      <c r="BA1" s="108"/>
    </row>
    <row r="2" spans="1:53" ht="20" thickBot="1" x14ac:dyDescent="0.3">
      <c r="A2" s="109" t="s">
        <v>174</v>
      </c>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c r="AV2" s="109"/>
      <c r="AW2" s="109"/>
      <c r="AX2" s="109"/>
      <c r="AY2" s="109"/>
      <c r="AZ2" s="109"/>
      <c r="BA2" s="109"/>
    </row>
    <row r="3" spans="1:53" s="23" customFormat="1" ht="16" thickBot="1" x14ac:dyDescent="0.25">
      <c r="A3" s="67"/>
      <c r="B3" s="68"/>
      <c r="C3" s="69"/>
      <c r="D3" s="95" t="s">
        <v>1</v>
      </c>
      <c r="E3" s="96"/>
      <c r="F3" s="96"/>
      <c r="G3" s="96"/>
      <c r="H3" s="97"/>
      <c r="I3" s="72"/>
      <c r="J3" s="110" t="s">
        <v>2</v>
      </c>
      <c r="K3" s="110"/>
      <c r="L3" s="110"/>
      <c r="M3" s="110"/>
      <c r="N3" s="110"/>
      <c r="O3" s="110"/>
      <c r="P3" s="110"/>
      <c r="Q3" s="110"/>
      <c r="R3" s="110"/>
      <c r="S3" s="110"/>
      <c r="T3" s="110"/>
      <c r="U3" s="17" t="s">
        <v>3</v>
      </c>
      <c r="V3" s="11" t="s">
        <v>150</v>
      </c>
      <c r="W3" s="13"/>
      <c r="X3" s="95" t="s">
        <v>5</v>
      </c>
      <c r="Y3" s="96"/>
      <c r="Z3" s="96"/>
      <c r="AA3" s="96"/>
      <c r="AB3" s="97"/>
      <c r="AC3" s="106" t="s">
        <v>151</v>
      </c>
      <c r="AD3" s="95" t="s">
        <v>7</v>
      </c>
      <c r="AE3" s="96"/>
      <c r="AF3" s="96"/>
      <c r="AG3" s="96"/>
      <c r="AH3" s="97"/>
      <c r="AI3" s="95" t="s">
        <v>8</v>
      </c>
      <c r="AJ3" s="96"/>
      <c r="AK3" s="96"/>
      <c r="AL3" s="96"/>
      <c r="AM3" s="96"/>
      <c r="AN3" s="96"/>
      <c r="AO3" s="96"/>
      <c r="AP3" s="96"/>
      <c r="AQ3" s="97"/>
      <c r="AR3" s="89" t="s">
        <v>9</v>
      </c>
      <c r="AS3" s="90"/>
      <c r="AT3" s="90"/>
      <c r="AU3" s="90"/>
      <c r="AV3" s="90"/>
      <c r="AW3" s="91"/>
      <c r="AX3" s="95" t="s">
        <v>152</v>
      </c>
      <c r="AY3" s="96"/>
      <c r="AZ3" s="96"/>
      <c r="BA3" s="97"/>
    </row>
    <row r="4" spans="1:53" s="23" customFormat="1" ht="16" thickBot="1" x14ac:dyDescent="0.25">
      <c r="A4" s="70"/>
      <c r="B4" s="71"/>
      <c r="C4" s="61"/>
      <c r="D4" s="98"/>
      <c r="E4" s="99"/>
      <c r="F4" s="99"/>
      <c r="G4" s="99"/>
      <c r="H4" s="100"/>
      <c r="I4" s="101" t="s">
        <v>11</v>
      </c>
      <c r="J4" s="104"/>
      <c r="K4" s="104"/>
      <c r="L4" s="104"/>
      <c r="M4" s="105"/>
      <c r="N4" s="101" t="s">
        <v>87</v>
      </c>
      <c r="O4" s="102"/>
      <c r="P4" s="103"/>
      <c r="Q4" s="101" t="s">
        <v>14</v>
      </c>
      <c r="R4" s="102"/>
      <c r="S4" s="102"/>
      <c r="T4" s="102"/>
      <c r="U4" s="18"/>
      <c r="V4" s="14"/>
      <c r="W4" s="16"/>
      <c r="X4" s="98"/>
      <c r="Y4" s="99"/>
      <c r="Z4" s="99"/>
      <c r="AA4" s="99"/>
      <c r="AB4" s="100"/>
      <c r="AC4" s="107"/>
      <c r="AD4" s="98"/>
      <c r="AE4" s="99"/>
      <c r="AF4" s="99"/>
      <c r="AG4" s="99"/>
      <c r="AH4" s="100"/>
      <c r="AI4" s="98"/>
      <c r="AJ4" s="99"/>
      <c r="AK4" s="99"/>
      <c r="AL4" s="99"/>
      <c r="AM4" s="99"/>
      <c r="AN4" s="99"/>
      <c r="AO4" s="99"/>
      <c r="AP4" s="99"/>
      <c r="AQ4" s="100"/>
      <c r="AR4" s="92"/>
      <c r="AS4" s="93"/>
      <c r="AT4" s="93"/>
      <c r="AU4" s="93"/>
      <c r="AV4" s="93"/>
      <c r="AW4" s="94"/>
      <c r="AX4" s="98"/>
      <c r="AY4" s="99"/>
      <c r="AZ4" s="99"/>
      <c r="BA4" s="100"/>
    </row>
    <row r="5" spans="1:53" s="74" customFormat="1" ht="278" thickBot="1" x14ac:dyDescent="0.25">
      <c r="A5" s="73" t="s">
        <v>17</v>
      </c>
      <c r="B5" s="73" t="s">
        <v>149</v>
      </c>
      <c r="C5" s="73" t="s">
        <v>19</v>
      </c>
      <c r="D5" s="77" t="s">
        <v>20</v>
      </c>
      <c r="E5" s="78" t="s">
        <v>141</v>
      </c>
      <c r="F5" s="78" t="s">
        <v>142</v>
      </c>
      <c r="G5" s="78" t="s">
        <v>23</v>
      </c>
      <c r="H5" s="79" t="s">
        <v>24</v>
      </c>
      <c r="I5" s="77" t="s">
        <v>25</v>
      </c>
      <c r="J5" s="78" t="s">
        <v>121</v>
      </c>
      <c r="K5" s="78" t="s">
        <v>122</v>
      </c>
      <c r="L5" s="78" t="s">
        <v>123</v>
      </c>
      <c r="M5" s="78" t="s">
        <v>124</v>
      </c>
      <c r="N5" s="78" t="s">
        <v>26</v>
      </c>
      <c r="O5" s="78" t="s">
        <v>27</v>
      </c>
      <c r="P5" s="78" t="s">
        <v>28</v>
      </c>
      <c r="Q5" s="78" t="s">
        <v>146</v>
      </c>
      <c r="R5" s="78" t="s">
        <v>133</v>
      </c>
      <c r="S5" s="78" t="s">
        <v>134</v>
      </c>
      <c r="T5" s="79" t="s">
        <v>135</v>
      </c>
      <c r="U5" s="80" t="s">
        <v>144</v>
      </c>
      <c r="V5" s="77" t="s">
        <v>105</v>
      </c>
      <c r="W5" s="79" t="s">
        <v>71</v>
      </c>
      <c r="X5" s="77" t="s">
        <v>147</v>
      </c>
      <c r="Y5" s="78" t="s">
        <v>38</v>
      </c>
      <c r="Z5" s="78" t="s">
        <v>140</v>
      </c>
      <c r="AA5" s="78" t="s">
        <v>39</v>
      </c>
      <c r="AB5" s="79" t="s">
        <v>40</v>
      </c>
      <c r="AC5" s="80" t="s">
        <v>143</v>
      </c>
      <c r="AD5" s="77" t="s">
        <v>117</v>
      </c>
      <c r="AE5" s="78" t="s">
        <v>118</v>
      </c>
      <c r="AF5" s="78" t="s">
        <v>119</v>
      </c>
      <c r="AG5" s="78" t="s">
        <v>120</v>
      </c>
      <c r="AH5" s="79" t="s">
        <v>148</v>
      </c>
      <c r="AI5" s="81" t="s">
        <v>46</v>
      </c>
      <c r="AJ5" s="78" t="s">
        <v>47</v>
      </c>
      <c r="AK5" s="78" t="s">
        <v>48</v>
      </c>
      <c r="AL5" s="78" t="s">
        <v>49</v>
      </c>
      <c r="AM5" s="82" t="s">
        <v>50</v>
      </c>
      <c r="AN5" s="78" t="s">
        <v>51</v>
      </c>
      <c r="AO5" s="78" t="s">
        <v>52</v>
      </c>
      <c r="AP5" s="78" t="s">
        <v>103</v>
      </c>
      <c r="AQ5" s="79" t="s">
        <v>53</v>
      </c>
      <c r="AR5" s="77" t="s">
        <v>54</v>
      </c>
      <c r="AS5" s="78" t="s">
        <v>55</v>
      </c>
      <c r="AT5" s="78" t="s">
        <v>56</v>
      </c>
      <c r="AU5" s="78" t="s">
        <v>57</v>
      </c>
      <c r="AV5" s="78" t="s">
        <v>58</v>
      </c>
      <c r="AW5" s="78" t="s">
        <v>59</v>
      </c>
      <c r="AX5" s="78" t="s">
        <v>145</v>
      </c>
      <c r="AY5" s="78" t="s">
        <v>67</v>
      </c>
      <c r="AZ5" s="78" t="s">
        <v>68</v>
      </c>
      <c r="BA5" s="78" t="s">
        <v>69</v>
      </c>
    </row>
    <row r="6" spans="1:53" ht="16" x14ac:dyDescent="0.2">
      <c r="A6" t="s">
        <v>153</v>
      </c>
      <c r="B6" t="s">
        <v>294</v>
      </c>
      <c r="C6" t="s">
        <v>295</v>
      </c>
      <c r="D6" t="s">
        <v>73</v>
      </c>
      <c r="E6" t="s">
        <v>72</v>
      </c>
      <c r="F6" t="s">
        <v>72</v>
      </c>
      <c r="G6" t="s">
        <v>73</v>
      </c>
      <c r="H6"/>
      <c r="I6">
        <v>4</v>
      </c>
      <c r="J6"/>
      <c r="K6"/>
      <c r="L6"/>
      <c r="M6"/>
      <c r="N6"/>
      <c r="O6"/>
      <c r="P6"/>
      <c r="Q6">
        <v>0</v>
      </c>
      <c r="R6">
        <v>0</v>
      </c>
      <c r="S6">
        <v>0</v>
      </c>
      <c r="T6">
        <v>0</v>
      </c>
      <c r="U6" t="s">
        <v>73</v>
      </c>
      <c r="V6">
        <v>0</v>
      </c>
      <c r="W6">
        <v>0</v>
      </c>
      <c r="X6">
        <v>0</v>
      </c>
      <c r="Y6">
        <v>0</v>
      </c>
      <c r="Z6">
        <v>0</v>
      </c>
      <c r="AA6">
        <v>0</v>
      </c>
      <c r="AB6">
        <v>0</v>
      </c>
      <c r="AC6" t="s">
        <v>73</v>
      </c>
      <c r="AD6">
        <v>0</v>
      </c>
      <c r="AE6">
        <v>0</v>
      </c>
      <c r="AF6">
        <v>0</v>
      </c>
      <c r="AG6">
        <v>0</v>
      </c>
      <c r="AH6">
        <v>0</v>
      </c>
      <c r="AI6">
        <v>15</v>
      </c>
      <c r="AJ6">
        <v>10</v>
      </c>
      <c r="AK6" t="s">
        <v>73</v>
      </c>
      <c r="AL6" t="s">
        <v>73</v>
      </c>
      <c r="AM6" s="42" t="s">
        <v>73</v>
      </c>
      <c r="AN6" t="s">
        <v>450</v>
      </c>
      <c r="AO6" s="56">
        <v>46022.69935185185</v>
      </c>
      <c r="AP6" s="56">
        <v>46022.657685185186</v>
      </c>
      <c r="AQ6" t="s">
        <v>73</v>
      </c>
      <c r="AR6" t="s">
        <v>73</v>
      </c>
      <c r="AS6" t="s">
        <v>73</v>
      </c>
      <c r="AT6" t="s">
        <v>73</v>
      </c>
      <c r="AU6" t="s">
        <v>73</v>
      </c>
      <c r="AV6" t="s">
        <v>73</v>
      </c>
      <c r="AW6">
        <v>0</v>
      </c>
      <c r="AX6" t="s">
        <v>73</v>
      </c>
      <c r="AY6" t="s">
        <v>158</v>
      </c>
      <c r="AZ6" t="s">
        <v>158</v>
      </c>
      <c r="BA6" t="s">
        <v>158</v>
      </c>
    </row>
    <row r="7" spans="1:53" ht="64" x14ac:dyDescent="0.2">
      <c r="A7" t="s">
        <v>153</v>
      </c>
      <c r="B7" t="s">
        <v>330</v>
      </c>
      <c r="C7" t="s">
        <v>331</v>
      </c>
      <c r="D7" t="s">
        <v>72</v>
      </c>
      <c r="E7" t="s">
        <v>73</v>
      </c>
      <c r="F7" t="s">
        <v>73</v>
      </c>
      <c r="G7" t="s">
        <v>73</v>
      </c>
      <c r="H7"/>
      <c r="I7"/>
      <c r="J7"/>
      <c r="K7"/>
      <c r="L7"/>
      <c r="M7"/>
      <c r="N7"/>
      <c r="O7"/>
      <c r="P7"/>
      <c r="Q7">
        <v>0</v>
      </c>
      <c r="R7">
        <v>0</v>
      </c>
      <c r="S7">
        <v>0</v>
      </c>
      <c r="T7">
        <v>0</v>
      </c>
      <c r="U7" t="s">
        <v>73</v>
      </c>
      <c r="V7">
        <v>0</v>
      </c>
      <c r="W7">
        <v>0</v>
      </c>
      <c r="X7">
        <v>0</v>
      </c>
      <c r="Y7">
        <v>0</v>
      </c>
      <c r="Z7">
        <v>0</v>
      </c>
      <c r="AA7">
        <v>0</v>
      </c>
      <c r="AB7">
        <v>0</v>
      </c>
      <c r="AC7" t="s">
        <v>73</v>
      </c>
      <c r="AD7">
        <v>0</v>
      </c>
      <c r="AE7">
        <v>0</v>
      </c>
      <c r="AF7">
        <v>0</v>
      </c>
      <c r="AG7">
        <v>0</v>
      </c>
      <c r="AH7">
        <v>0</v>
      </c>
      <c r="AI7">
        <v>10</v>
      </c>
      <c r="AJ7">
        <v>0</v>
      </c>
      <c r="AK7" t="s">
        <v>73</v>
      </c>
      <c r="AL7" t="s">
        <v>73</v>
      </c>
      <c r="AM7" s="42" t="s">
        <v>433</v>
      </c>
      <c r="AN7" t="s">
        <v>434</v>
      </c>
      <c r="AO7" s="56">
        <v>46020.842615740738</v>
      </c>
      <c r="AP7" s="56">
        <v>46020.894224537034</v>
      </c>
      <c r="AQ7" t="s">
        <v>73</v>
      </c>
      <c r="AR7" t="s">
        <v>73</v>
      </c>
      <c r="AS7" t="s">
        <v>73</v>
      </c>
      <c r="AT7" t="s">
        <v>73</v>
      </c>
      <c r="AU7" t="s">
        <v>73</v>
      </c>
      <c r="AV7" t="s">
        <v>73</v>
      </c>
      <c r="AW7">
        <v>0</v>
      </c>
      <c r="AX7" t="s">
        <v>73</v>
      </c>
      <c r="AY7" t="s">
        <v>158</v>
      </c>
      <c r="AZ7" t="s">
        <v>158</v>
      </c>
      <c r="BA7" t="s">
        <v>158</v>
      </c>
    </row>
    <row r="8" spans="1:53" ht="32" x14ac:dyDescent="0.2">
      <c r="A8" t="s">
        <v>153</v>
      </c>
      <c r="B8" t="s">
        <v>291</v>
      </c>
      <c r="C8" t="s">
        <v>292</v>
      </c>
      <c r="D8" t="s">
        <v>73</v>
      </c>
      <c r="E8" t="s">
        <v>73</v>
      </c>
      <c r="F8" t="s">
        <v>73</v>
      </c>
      <c r="G8" t="s">
        <v>72</v>
      </c>
      <c r="H8" t="s">
        <v>72</v>
      </c>
      <c r="I8">
        <v>6</v>
      </c>
      <c r="J8"/>
      <c r="K8"/>
      <c r="L8"/>
      <c r="M8"/>
      <c r="N8"/>
      <c r="O8"/>
      <c r="P8"/>
      <c r="Q8">
        <v>0</v>
      </c>
      <c r="R8">
        <v>0</v>
      </c>
      <c r="S8">
        <v>0</v>
      </c>
      <c r="T8">
        <v>0</v>
      </c>
      <c r="U8" t="s">
        <v>73</v>
      </c>
      <c r="V8">
        <v>3</v>
      </c>
      <c r="W8">
        <v>8</v>
      </c>
      <c r="X8">
        <v>0</v>
      </c>
      <c r="Y8">
        <v>0</v>
      </c>
      <c r="Z8">
        <v>0</v>
      </c>
      <c r="AA8">
        <v>0</v>
      </c>
      <c r="AB8">
        <v>0</v>
      </c>
      <c r="AC8" t="s">
        <v>73</v>
      </c>
      <c r="AD8">
        <v>0</v>
      </c>
      <c r="AE8">
        <v>0</v>
      </c>
      <c r="AF8">
        <v>0</v>
      </c>
      <c r="AG8">
        <v>0</v>
      </c>
      <c r="AH8">
        <v>0</v>
      </c>
      <c r="AI8">
        <v>15</v>
      </c>
      <c r="AJ8">
        <v>5</v>
      </c>
      <c r="AK8" t="s">
        <v>73</v>
      </c>
      <c r="AL8" t="s">
        <v>73</v>
      </c>
      <c r="AM8" s="42" t="s">
        <v>420</v>
      </c>
      <c r="AN8" t="s">
        <v>421</v>
      </c>
      <c r="AO8" s="56">
        <v>46019.812615740739</v>
      </c>
      <c r="AP8" s="56">
        <v>46044.745150462964</v>
      </c>
      <c r="AQ8" t="s">
        <v>73</v>
      </c>
      <c r="AR8" t="s">
        <v>73</v>
      </c>
      <c r="AS8" t="s">
        <v>73</v>
      </c>
      <c r="AT8" t="s">
        <v>73</v>
      </c>
      <c r="AU8" t="s">
        <v>73</v>
      </c>
      <c r="AV8" t="s">
        <v>73</v>
      </c>
      <c r="AW8">
        <v>0</v>
      </c>
      <c r="AX8" t="s">
        <v>75</v>
      </c>
      <c r="AY8" t="s">
        <v>422</v>
      </c>
      <c r="AZ8" t="s">
        <v>245</v>
      </c>
      <c r="BA8" t="s">
        <v>423</v>
      </c>
    </row>
    <row r="9" spans="1:53" ht="16" x14ac:dyDescent="0.2">
      <c r="A9" t="s">
        <v>153</v>
      </c>
      <c r="B9" t="s">
        <v>407</v>
      </c>
      <c r="C9" t="s">
        <v>408</v>
      </c>
      <c r="D9" t="s">
        <v>73</v>
      </c>
      <c r="E9" t="s">
        <v>72</v>
      </c>
      <c r="F9" t="s">
        <v>72</v>
      </c>
      <c r="G9" t="s">
        <v>73</v>
      </c>
      <c r="H9"/>
      <c r="I9"/>
      <c r="J9"/>
      <c r="K9"/>
      <c r="L9"/>
      <c r="M9"/>
      <c r="N9"/>
      <c r="O9"/>
      <c r="P9"/>
      <c r="Q9">
        <v>0</v>
      </c>
      <c r="R9">
        <v>0</v>
      </c>
      <c r="S9">
        <v>0</v>
      </c>
      <c r="T9">
        <v>0</v>
      </c>
      <c r="U9" t="s">
        <v>73</v>
      </c>
      <c r="V9">
        <v>0</v>
      </c>
      <c r="W9">
        <v>0</v>
      </c>
      <c r="X9">
        <v>0</v>
      </c>
      <c r="Y9">
        <v>0</v>
      </c>
      <c r="Z9">
        <v>0</v>
      </c>
      <c r="AA9">
        <v>0</v>
      </c>
      <c r="AB9">
        <v>0</v>
      </c>
      <c r="AC9" t="s">
        <v>73</v>
      </c>
      <c r="AD9">
        <v>6</v>
      </c>
      <c r="AE9">
        <v>6</v>
      </c>
      <c r="AF9">
        <v>6</v>
      </c>
      <c r="AG9">
        <v>6</v>
      </c>
      <c r="AH9">
        <v>1</v>
      </c>
      <c r="AI9">
        <v>20</v>
      </c>
      <c r="AJ9">
        <v>4</v>
      </c>
      <c r="AK9" t="s">
        <v>73</v>
      </c>
      <c r="AL9" t="s">
        <v>73</v>
      </c>
      <c r="AM9" s="42" t="s">
        <v>73</v>
      </c>
      <c r="AN9" t="s">
        <v>409</v>
      </c>
      <c r="AO9" s="56">
        <v>46019.467060185183</v>
      </c>
      <c r="AP9" s="56">
        <v>46019.425393518519</v>
      </c>
      <c r="AQ9" t="s">
        <v>73</v>
      </c>
      <c r="AR9" t="s">
        <v>73</v>
      </c>
      <c r="AS9" t="s">
        <v>73</v>
      </c>
      <c r="AT9" t="s">
        <v>73</v>
      </c>
      <c r="AU9" t="s">
        <v>73</v>
      </c>
      <c r="AV9" t="s">
        <v>73</v>
      </c>
      <c r="AW9">
        <v>0</v>
      </c>
      <c r="AX9" t="s">
        <v>73</v>
      </c>
      <c r="AY9" t="s">
        <v>158</v>
      </c>
      <c r="AZ9" t="s">
        <v>158</v>
      </c>
      <c r="BA9" t="s">
        <v>158</v>
      </c>
    </row>
    <row r="10" spans="1:53" ht="16" x14ac:dyDescent="0.2">
      <c r="A10" t="s">
        <v>153</v>
      </c>
      <c r="B10" t="s">
        <v>399</v>
      </c>
      <c r="C10" t="s">
        <v>400</v>
      </c>
      <c r="D10" t="s">
        <v>73</v>
      </c>
      <c r="E10" t="s">
        <v>72</v>
      </c>
      <c r="F10" t="s">
        <v>72</v>
      </c>
      <c r="G10" t="s">
        <v>73</v>
      </c>
      <c r="H10"/>
      <c r="I10">
        <v>8</v>
      </c>
      <c r="J10"/>
      <c r="K10"/>
      <c r="L10"/>
      <c r="M10"/>
      <c r="N10">
        <v>4</v>
      </c>
      <c r="O10"/>
      <c r="P10"/>
      <c r="Q10">
        <v>2</v>
      </c>
      <c r="R10">
        <v>2</v>
      </c>
      <c r="S10">
        <v>0</v>
      </c>
      <c r="T10">
        <v>0</v>
      </c>
      <c r="U10" t="s">
        <v>72</v>
      </c>
      <c r="V10">
        <v>0</v>
      </c>
      <c r="W10">
        <v>0</v>
      </c>
      <c r="X10">
        <v>3</v>
      </c>
      <c r="Y10">
        <v>3</v>
      </c>
      <c r="Z10">
        <v>0</v>
      </c>
      <c r="AA10">
        <v>0</v>
      </c>
      <c r="AB10">
        <v>0</v>
      </c>
      <c r="AC10" t="s">
        <v>73</v>
      </c>
      <c r="AD10">
        <v>6</v>
      </c>
      <c r="AE10">
        <v>6</v>
      </c>
      <c r="AF10">
        <v>0</v>
      </c>
      <c r="AG10">
        <v>6</v>
      </c>
      <c r="AH10">
        <v>1</v>
      </c>
      <c r="AI10">
        <v>65</v>
      </c>
      <c r="AJ10">
        <v>5</v>
      </c>
      <c r="AK10" t="s">
        <v>73</v>
      </c>
      <c r="AL10" t="s">
        <v>73</v>
      </c>
      <c r="AM10" s="42" t="s">
        <v>73</v>
      </c>
      <c r="AN10" t="s">
        <v>401</v>
      </c>
      <c r="AO10" s="56">
        <v>46018.568622685183</v>
      </c>
      <c r="AP10" s="56">
        <v>46018.526956018519</v>
      </c>
      <c r="AQ10" t="s">
        <v>400</v>
      </c>
      <c r="AR10" t="s">
        <v>78</v>
      </c>
      <c r="AS10" t="s">
        <v>179</v>
      </c>
      <c r="AT10" t="s">
        <v>219</v>
      </c>
      <c r="AU10" t="s">
        <v>402</v>
      </c>
      <c r="AV10" t="s">
        <v>402</v>
      </c>
      <c r="AW10">
        <v>35</v>
      </c>
      <c r="AX10" t="s">
        <v>73</v>
      </c>
      <c r="AY10" t="s">
        <v>158</v>
      </c>
      <c r="AZ10" t="s">
        <v>158</v>
      </c>
      <c r="BA10" t="s">
        <v>158</v>
      </c>
    </row>
    <row r="11" spans="1:53" ht="16" x14ac:dyDescent="0.2">
      <c r="A11" t="s">
        <v>153</v>
      </c>
      <c r="B11" t="s">
        <v>353</v>
      </c>
      <c r="C11" t="s">
        <v>354</v>
      </c>
      <c r="D11" t="s">
        <v>73</v>
      </c>
      <c r="E11" t="s">
        <v>72</v>
      </c>
      <c r="F11" t="s">
        <v>72</v>
      </c>
      <c r="G11" t="s">
        <v>73</v>
      </c>
      <c r="H11"/>
      <c r="I11">
        <v>6</v>
      </c>
      <c r="J11"/>
      <c r="K11"/>
      <c r="L11">
        <v>7</v>
      </c>
      <c r="M11"/>
      <c r="N11"/>
      <c r="O11"/>
      <c r="P11"/>
      <c r="Q11">
        <v>0</v>
      </c>
      <c r="R11">
        <v>0</v>
      </c>
      <c r="S11">
        <v>0</v>
      </c>
      <c r="T11">
        <v>0</v>
      </c>
      <c r="U11" t="s">
        <v>73</v>
      </c>
      <c r="V11">
        <v>0</v>
      </c>
      <c r="W11">
        <v>0</v>
      </c>
      <c r="X11">
        <v>4</v>
      </c>
      <c r="Y11">
        <v>4</v>
      </c>
      <c r="Z11">
        <v>0</v>
      </c>
      <c r="AA11">
        <v>0</v>
      </c>
      <c r="AB11">
        <v>0</v>
      </c>
      <c r="AC11" t="s">
        <v>72</v>
      </c>
      <c r="AD11">
        <v>4</v>
      </c>
      <c r="AE11">
        <v>4</v>
      </c>
      <c r="AF11">
        <v>0</v>
      </c>
      <c r="AG11">
        <v>0</v>
      </c>
      <c r="AH11">
        <v>0</v>
      </c>
      <c r="AI11">
        <v>80</v>
      </c>
      <c r="AJ11">
        <v>16</v>
      </c>
      <c r="AK11" t="s">
        <v>73</v>
      </c>
      <c r="AL11" t="s">
        <v>73</v>
      </c>
      <c r="AM11" s="42" t="s">
        <v>73</v>
      </c>
      <c r="AN11" t="s">
        <v>371</v>
      </c>
      <c r="AO11" s="56">
        <v>46015.467453703706</v>
      </c>
      <c r="AP11" s="56">
        <v>46020.429606481484</v>
      </c>
      <c r="AQ11" t="s">
        <v>73</v>
      </c>
      <c r="AR11" t="s">
        <v>73</v>
      </c>
      <c r="AS11" t="s">
        <v>73</v>
      </c>
      <c r="AT11" t="s">
        <v>73</v>
      </c>
      <c r="AU11" t="s">
        <v>73</v>
      </c>
      <c r="AV11" t="s">
        <v>73</v>
      </c>
      <c r="AW11">
        <v>0</v>
      </c>
      <c r="AX11" t="s">
        <v>73</v>
      </c>
      <c r="AY11" t="s">
        <v>158</v>
      </c>
      <c r="AZ11" t="s">
        <v>158</v>
      </c>
      <c r="BA11" t="s">
        <v>158</v>
      </c>
    </row>
    <row r="12" spans="1:53" ht="16" x14ac:dyDescent="0.2">
      <c r="A12" t="s">
        <v>153</v>
      </c>
      <c r="B12" t="s">
        <v>206</v>
      </c>
      <c r="C12" t="s">
        <v>207</v>
      </c>
      <c r="D12" t="s">
        <v>73</v>
      </c>
      <c r="E12" t="s">
        <v>72</v>
      </c>
      <c r="F12" t="s">
        <v>72</v>
      </c>
      <c r="G12" t="s">
        <v>73</v>
      </c>
      <c r="H12" t="s">
        <v>72</v>
      </c>
      <c r="I12">
        <v>7</v>
      </c>
      <c r="J12">
        <v>3</v>
      </c>
      <c r="K12"/>
      <c r="L12"/>
      <c r="M12"/>
      <c r="N12"/>
      <c r="O12"/>
      <c r="P12"/>
      <c r="Q12">
        <v>1</v>
      </c>
      <c r="R12">
        <v>1</v>
      </c>
      <c r="S12">
        <v>0</v>
      </c>
      <c r="T12">
        <v>0</v>
      </c>
      <c r="U12" t="s">
        <v>73</v>
      </c>
      <c r="V12">
        <v>7</v>
      </c>
      <c r="W12">
        <v>10</v>
      </c>
      <c r="X12">
        <v>0</v>
      </c>
      <c r="Y12">
        <v>0</v>
      </c>
      <c r="Z12">
        <v>0</v>
      </c>
      <c r="AA12">
        <v>0</v>
      </c>
      <c r="AB12">
        <v>0</v>
      </c>
      <c r="AC12" t="s">
        <v>73</v>
      </c>
      <c r="AD12">
        <v>6</v>
      </c>
      <c r="AE12">
        <v>6</v>
      </c>
      <c r="AF12">
        <v>0</v>
      </c>
      <c r="AG12">
        <v>6</v>
      </c>
      <c r="AH12">
        <v>4</v>
      </c>
      <c r="AI12">
        <v>45</v>
      </c>
      <c r="AJ12">
        <v>16</v>
      </c>
      <c r="AK12" t="s">
        <v>73</v>
      </c>
      <c r="AL12" t="s">
        <v>73</v>
      </c>
      <c r="AM12" s="42" t="s">
        <v>73</v>
      </c>
      <c r="AN12" t="s">
        <v>372</v>
      </c>
      <c r="AO12" s="56">
        <v>46014.895694444444</v>
      </c>
      <c r="AP12" s="56">
        <v>46014.87027777778</v>
      </c>
      <c r="AQ12" t="s">
        <v>73</v>
      </c>
      <c r="AR12" t="s">
        <v>73</v>
      </c>
      <c r="AS12" t="s">
        <v>73</v>
      </c>
      <c r="AT12" t="s">
        <v>73</v>
      </c>
      <c r="AU12" t="s">
        <v>73</v>
      </c>
      <c r="AV12" t="s">
        <v>73</v>
      </c>
      <c r="AW12">
        <v>0</v>
      </c>
      <c r="AX12" t="s">
        <v>75</v>
      </c>
      <c r="AY12" t="s">
        <v>373</v>
      </c>
      <c r="AZ12" t="s">
        <v>374</v>
      </c>
      <c r="BA12" t="s">
        <v>375</v>
      </c>
    </row>
    <row r="13" spans="1:53" ht="16" x14ac:dyDescent="0.2">
      <c r="A13" t="s">
        <v>153</v>
      </c>
      <c r="B13" t="s">
        <v>376</v>
      </c>
      <c r="C13" t="s">
        <v>377</v>
      </c>
      <c r="D13" t="s">
        <v>73</v>
      </c>
      <c r="E13" t="s">
        <v>72</v>
      </c>
      <c r="F13" t="s">
        <v>73</v>
      </c>
      <c r="G13" t="s">
        <v>73</v>
      </c>
      <c r="H13"/>
      <c r="I13">
        <v>6</v>
      </c>
      <c r="J13"/>
      <c r="K13"/>
      <c r="L13"/>
      <c r="M13"/>
      <c r="N13"/>
      <c r="O13"/>
      <c r="P13"/>
      <c r="Q13">
        <v>0</v>
      </c>
      <c r="R13">
        <v>0</v>
      </c>
      <c r="S13">
        <v>0</v>
      </c>
      <c r="T13">
        <v>0</v>
      </c>
      <c r="U13" t="s">
        <v>73</v>
      </c>
      <c r="V13">
        <v>0</v>
      </c>
      <c r="W13">
        <v>0</v>
      </c>
      <c r="X13">
        <v>0</v>
      </c>
      <c r="Y13">
        <v>0</v>
      </c>
      <c r="Z13">
        <v>0</v>
      </c>
      <c r="AA13">
        <v>0</v>
      </c>
      <c r="AB13">
        <v>0</v>
      </c>
      <c r="AC13" t="s">
        <v>73</v>
      </c>
      <c r="AD13">
        <v>4</v>
      </c>
      <c r="AE13">
        <v>0</v>
      </c>
      <c r="AF13">
        <v>0</v>
      </c>
      <c r="AG13">
        <v>0</v>
      </c>
      <c r="AH13">
        <v>0</v>
      </c>
      <c r="AI13">
        <v>25</v>
      </c>
      <c r="AJ13">
        <v>2</v>
      </c>
      <c r="AK13" t="s">
        <v>73</v>
      </c>
      <c r="AL13" t="s">
        <v>73</v>
      </c>
      <c r="AM13" s="42" t="s">
        <v>73</v>
      </c>
      <c r="AN13" t="s">
        <v>378</v>
      </c>
      <c r="AO13" s="56">
        <v>46014.850069444445</v>
      </c>
      <c r="AP13" s="56">
        <v>46014.80840277778</v>
      </c>
      <c r="AQ13" t="s">
        <v>73</v>
      </c>
      <c r="AR13" t="s">
        <v>73</v>
      </c>
      <c r="AS13" t="s">
        <v>73</v>
      </c>
      <c r="AT13" t="s">
        <v>73</v>
      </c>
      <c r="AU13" t="s">
        <v>73</v>
      </c>
      <c r="AV13" t="s">
        <v>73</v>
      </c>
      <c r="AW13">
        <v>0</v>
      </c>
      <c r="AX13" t="s">
        <v>73</v>
      </c>
      <c r="AY13" t="s">
        <v>158</v>
      </c>
      <c r="AZ13" t="s">
        <v>158</v>
      </c>
      <c r="BA13" t="s">
        <v>158</v>
      </c>
    </row>
    <row r="14" spans="1:53" ht="16" x14ac:dyDescent="0.2">
      <c r="A14" t="s">
        <v>153</v>
      </c>
      <c r="B14" t="s">
        <v>379</v>
      </c>
      <c r="C14" t="s">
        <v>380</v>
      </c>
      <c r="D14" t="s">
        <v>73</v>
      </c>
      <c r="E14" t="s">
        <v>72</v>
      </c>
      <c r="F14" t="s">
        <v>72</v>
      </c>
      <c r="G14" t="s">
        <v>73</v>
      </c>
      <c r="H14"/>
      <c r="I14">
        <v>5</v>
      </c>
      <c r="J14"/>
      <c r="K14"/>
      <c r="L14"/>
      <c r="M14"/>
      <c r="N14"/>
      <c r="O14"/>
      <c r="P14"/>
      <c r="Q14">
        <v>0</v>
      </c>
      <c r="R14">
        <v>0</v>
      </c>
      <c r="S14">
        <v>0</v>
      </c>
      <c r="T14">
        <v>0</v>
      </c>
      <c r="U14" t="s">
        <v>72</v>
      </c>
      <c r="V14">
        <v>0</v>
      </c>
      <c r="W14">
        <v>0</v>
      </c>
      <c r="X14">
        <v>0</v>
      </c>
      <c r="Y14">
        <v>0</v>
      </c>
      <c r="Z14">
        <v>0</v>
      </c>
      <c r="AA14">
        <v>0</v>
      </c>
      <c r="AB14">
        <v>0</v>
      </c>
      <c r="AC14" t="s">
        <v>73</v>
      </c>
      <c r="AD14">
        <v>6</v>
      </c>
      <c r="AE14">
        <v>6</v>
      </c>
      <c r="AF14">
        <v>0</v>
      </c>
      <c r="AG14">
        <v>6</v>
      </c>
      <c r="AH14">
        <v>0</v>
      </c>
      <c r="AI14">
        <v>45</v>
      </c>
      <c r="AJ14">
        <v>0</v>
      </c>
      <c r="AK14" t="s">
        <v>73</v>
      </c>
      <c r="AL14" t="s">
        <v>73</v>
      </c>
      <c r="AM14" s="42" t="s">
        <v>73</v>
      </c>
      <c r="AN14" t="s">
        <v>381</v>
      </c>
      <c r="AO14" s="56">
        <v>46014.804375</v>
      </c>
      <c r="AP14" s="56">
        <v>46014.762708333335</v>
      </c>
      <c r="AQ14" t="s">
        <v>380</v>
      </c>
      <c r="AR14" t="s">
        <v>78</v>
      </c>
      <c r="AS14" t="s">
        <v>76</v>
      </c>
      <c r="AT14" t="s">
        <v>77</v>
      </c>
      <c r="AU14" t="s">
        <v>382</v>
      </c>
      <c r="AV14" t="s">
        <v>383</v>
      </c>
      <c r="AW14">
        <v>30</v>
      </c>
      <c r="AX14" t="s">
        <v>73</v>
      </c>
      <c r="AY14" t="s">
        <v>158</v>
      </c>
      <c r="AZ14" t="s">
        <v>158</v>
      </c>
      <c r="BA14" t="s">
        <v>158</v>
      </c>
    </row>
    <row r="15" spans="1:53" ht="32" x14ac:dyDescent="0.2">
      <c r="A15" t="s">
        <v>153</v>
      </c>
      <c r="B15" t="s">
        <v>322</v>
      </c>
      <c r="C15" t="s">
        <v>323</v>
      </c>
      <c r="D15" t="s">
        <v>73</v>
      </c>
      <c r="E15" t="s">
        <v>72</v>
      </c>
      <c r="F15" t="s">
        <v>72</v>
      </c>
      <c r="G15" t="s">
        <v>73</v>
      </c>
      <c r="H15"/>
      <c r="I15">
        <v>6</v>
      </c>
      <c r="J15"/>
      <c r="K15"/>
      <c r="L15"/>
      <c r="M15"/>
      <c r="N15"/>
      <c r="O15"/>
      <c r="P15"/>
      <c r="Q15">
        <v>3</v>
      </c>
      <c r="R15">
        <v>2</v>
      </c>
      <c r="S15">
        <v>1</v>
      </c>
      <c r="T15">
        <v>0</v>
      </c>
      <c r="U15" t="s">
        <v>72</v>
      </c>
      <c r="V15">
        <v>0</v>
      </c>
      <c r="W15">
        <v>0</v>
      </c>
      <c r="X15">
        <v>0</v>
      </c>
      <c r="Y15">
        <v>0</v>
      </c>
      <c r="Z15">
        <v>0</v>
      </c>
      <c r="AA15">
        <v>0</v>
      </c>
      <c r="AB15">
        <v>0</v>
      </c>
      <c r="AC15" t="s">
        <v>72</v>
      </c>
      <c r="AD15">
        <v>6</v>
      </c>
      <c r="AE15">
        <v>6</v>
      </c>
      <c r="AF15">
        <v>0</v>
      </c>
      <c r="AG15">
        <v>6</v>
      </c>
      <c r="AH15">
        <v>0</v>
      </c>
      <c r="AI15">
        <v>55</v>
      </c>
      <c r="AJ15">
        <v>1</v>
      </c>
      <c r="AK15" t="s">
        <v>73</v>
      </c>
      <c r="AL15" t="s">
        <v>73</v>
      </c>
      <c r="AM15" s="42" t="s">
        <v>324</v>
      </c>
      <c r="AN15" t="s">
        <v>325</v>
      </c>
      <c r="AO15" s="56">
        <v>46011.823935185188</v>
      </c>
      <c r="AP15" s="56">
        <v>46011.782268518517</v>
      </c>
      <c r="AQ15" t="s">
        <v>323</v>
      </c>
      <c r="AR15" t="s">
        <v>78</v>
      </c>
      <c r="AS15" t="s">
        <v>179</v>
      </c>
      <c r="AT15" t="s">
        <v>77</v>
      </c>
      <c r="AU15" t="s">
        <v>326</v>
      </c>
      <c r="AV15" t="s">
        <v>327</v>
      </c>
      <c r="AW15">
        <v>35</v>
      </c>
      <c r="AX15" t="s">
        <v>73</v>
      </c>
      <c r="AY15" t="s">
        <v>158</v>
      </c>
      <c r="AZ15" t="s">
        <v>158</v>
      </c>
      <c r="BA15" t="s">
        <v>158</v>
      </c>
    </row>
    <row r="16" spans="1:53" ht="48" x14ac:dyDescent="0.2">
      <c r="A16" t="s">
        <v>153</v>
      </c>
      <c r="B16" t="s">
        <v>305</v>
      </c>
      <c r="C16" t="s">
        <v>306</v>
      </c>
      <c r="D16" t="s">
        <v>73</v>
      </c>
      <c r="E16" t="s">
        <v>72</v>
      </c>
      <c r="F16" t="s">
        <v>72</v>
      </c>
      <c r="G16" t="s">
        <v>72</v>
      </c>
      <c r="H16" t="s">
        <v>72</v>
      </c>
      <c r="I16">
        <v>10</v>
      </c>
      <c r="J16"/>
      <c r="K16"/>
      <c r="L16">
        <v>13</v>
      </c>
      <c r="M16">
        <v>0</v>
      </c>
      <c r="N16"/>
      <c r="O16"/>
      <c r="P16"/>
      <c r="Q16">
        <v>0</v>
      </c>
      <c r="R16">
        <v>0</v>
      </c>
      <c r="S16">
        <v>0</v>
      </c>
      <c r="T16">
        <v>0</v>
      </c>
      <c r="U16" t="s">
        <v>72</v>
      </c>
      <c r="V16">
        <v>6</v>
      </c>
      <c r="W16">
        <v>11</v>
      </c>
      <c r="X16">
        <v>1</v>
      </c>
      <c r="Y16">
        <v>1</v>
      </c>
      <c r="Z16">
        <v>0</v>
      </c>
      <c r="AA16">
        <v>0</v>
      </c>
      <c r="AB16">
        <v>0</v>
      </c>
      <c r="AC16" t="s">
        <v>72</v>
      </c>
      <c r="AD16">
        <v>6</v>
      </c>
      <c r="AE16">
        <v>0</v>
      </c>
      <c r="AF16">
        <v>0</v>
      </c>
      <c r="AG16">
        <v>6</v>
      </c>
      <c r="AH16">
        <v>0</v>
      </c>
      <c r="AI16">
        <v>12</v>
      </c>
      <c r="AJ16">
        <v>1</v>
      </c>
      <c r="AK16" t="s">
        <v>73</v>
      </c>
      <c r="AL16" t="s">
        <v>73</v>
      </c>
      <c r="AM16" s="42" t="s">
        <v>453</v>
      </c>
      <c r="AN16" t="s">
        <v>307</v>
      </c>
      <c r="AO16" s="56">
        <v>46011.564583333333</v>
      </c>
      <c r="AP16" s="56">
        <v>46023.403738425928</v>
      </c>
      <c r="AQ16" t="s">
        <v>306</v>
      </c>
      <c r="AR16" t="s">
        <v>306</v>
      </c>
      <c r="AS16" t="s">
        <v>179</v>
      </c>
      <c r="AT16" t="s">
        <v>77</v>
      </c>
      <c r="AU16" t="s">
        <v>308</v>
      </c>
      <c r="AV16" t="s">
        <v>309</v>
      </c>
      <c r="AW16">
        <v>50</v>
      </c>
      <c r="AX16" t="s">
        <v>75</v>
      </c>
      <c r="AY16" t="s">
        <v>310</v>
      </c>
      <c r="AZ16" t="s">
        <v>311</v>
      </c>
      <c r="BA16" t="s">
        <v>312</v>
      </c>
    </row>
    <row r="17" spans="1:53" ht="16" x14ac:dyDescent="0.2">
      <c r="A17" t="s">
        <v>153</v>
      </c>
      <c r="B17" t="s">
        <v>313</v>
      </c>
      <c r="C17" t="s">
        <v>314</v>
      </c>
      <c r="D17" t="s">
        <v>73</v>
      </c>
      <c r="E17" t="s">
        <v>72</v>
      </c>
      <c r="F17" t="s">
        <v>72</v>
      </c>
      <c r="G17" t="s">
        <v>73</v>
      </c>
      <c r="H17"/>
      <c r="I17">
        <v>5</v>
      </c>
      <c r="J17"/>
      <c r="K17"/>
      <c r="L17"/>
      <c r="M17"/>
      <c r="N17"/>
      <c r="O17"/>
      <c r="P17"/>
      <c r="Q17">
        <v>0</v>
      </c>
      <c r="R17">
        <v>0</v>
      </c>
      <c r="S17">
        <v>0</v>
      </c>
      <c r="T17">
        <v>0</v>
      </c>
      <c r="U17" t="s">
        <v>73</v>
      </c>
      <c r="V17">
        <v>0</v>
      </c>
      <c r="W17">
        <v>0</v>
      </c>
      <c r="X17">
        <v>0</v>
      </c>
      <c r="Y17">
        <v>0</v>
      </c>
      <c r="Z17">
        <v>0</v>
      </c>
      <c r="AA17">
        <v>0</v>
      </c>
      <c r="AB17">
        <v>0</v>
      </c>
      <c r="AC17" t="s">
        <v>73</v>
      </c>
      <c r="AD17">
        <v>4</v>
      </c>
      <c r="AE17">
        <v>4</v>
      </c>
      <c r="AF17">
        <v>0</v>
      </c>
      <c r="AG17">
        <v>4</v>
      </c>
      <c r="AH17">
        <v>0</v>
      </c>
      <c r="AI17">
        <v>25</v>
      </c>
      <c r="AJ17">
        <v>0</v>
      </c>
      <c r="AK17" t="s">
        <v>73</v>
      </c>
      <c r="AL17" t="s">
        <v>73</v>
      </c>
      <c r="AM17" s="42" t="s">
        <v>73</v>
      </c>
      <c r="AN17" t="s">
        <v>315</v>
      </c>
      <c r="AO17" s="56">
        <v>46009.863923611112</v>
      </c>
      <c r="AP17" s="56">
        <v>46009.822256944448</v>
      </c>
      <c r="AQ17" t="s">
        <v>73</v>
      </c>
      <c r="AR17" t="s">
        <v>73</v>
      </c>
      <c r="AS17" t="s">
        <v>73</v>
      </c>
      <c r="AT17" t="s">
        <v>73</v>
      </c>
      <c r="AU17" t="s">
        <v>73</v>
      </c>
      <c r="AV17" t="s">
        <v>73</v>
      </c>
      <c r="AW17">
        <v>0</v>
      </c>
      <c r="AX17" t="s">
        <v>73</v>
      </c>
      <c r="AY17" t="s">
        <v>158</v>
      </c>
      <c r="AZ17" t="s">
        <v>158</v>
      </c>
      <c r="BA17" t="s">
        <v>158</v>
      </c>
    </row>
    <row r="18" spans="1:53" ht="16" x14ac:dyDescent="0.2">
      <c r="A18" t="s">
        <v>153</v>
      </c>
      <c r="B18" t="s">
        <v>266</v>
      </c>
      <c r="C18" t="s">
        <v>267</v>
      </c>
      <c r="D18" t="s">
        <v>73</v>
      </c>
      <c r="E18" t="s">
        <v>72</v>
      </c>
      <c r="F18" t="s">
        <v>72</v>
      </c>
      <c r="G18" t="s">
        <v>73</v>
      </c>
      <c r="H18"/>
      <c r="I18"/>
      <c r="J18"/>
      <c r="K18"/>
      <c r="L18"/>
      <c r="M18"/>
      <c r="N18"/>
      <c r="O18"/>
      <c r="P18"/>
      <c r="Q18">
        <v>0</v>
      </c>
      <c r="R18">
        <v>0</v>
      </c>
      <c r="S18">
        <v>0</v>
      </c>
      <c r="T18">
        <v>0</v>
      </c>
      <c r="U18" t="s">
        <v>73</v>
      </c>
      <c r="V18">
        <v>0</v>
      </c>
      <c r="W18">
        <v>0</v>
      </c>
      <c r="X18">
        <v>2</v>
      </c>
      <c r="Y18">
        <v>2</v>
      </c>
      <c r="Z18">
        <v>0</v>
      </c>
      <c r="AA18">
        <v>0</v>
      </c>
      <c r="AB18">
        <v>0</v>
      </c>
      <c r="AC18" t="s">
        <v>73</v>
      </c>
      <c r="AD18">
        <v>6</v>
      </c>
      <c r="AE18">
        <v>6</v>
      </c>
      <c r="AF18">
        <v>0</v>
      </c>
      <c r="AG18">
        <v>6</v>
      </c>
      <c r="AH18">
        <v>0</v>
      </c>
      <c r="AI18">
        <v>25</v>
      </c>
      <c r="AJ18">
        <v>0</v>
      </c>
      <c r="AK18" t="s">
        <v>73</v>
      </c>
      <c r="AL18" t="s">
        <v>73</v>
      </c>
      <c r="AM18" s="42" t="s">
        <v>73</v>
      </c>
      <c r="AN18" t="s">
        <v>270</v>
      </c>
      <c r="AO18" s="56">
        <v>46005.920173611114</v>
      </c>
      <c r="AP18" s="56">
        <v>46005.878506944442</v>
      </c>
      <c r="AQ18" t="s">
        <v>73</v>
      </c>
      <c r="AR18" t="s">
        <v>73</v>
      </c>
      <c r="AS18" t="s">
        <v>73</v>
      </c>
      <c r="AT18" t="s">
        <v>73</v>
      </c>
      <c r="AU18" t="s">
        <v>73</v>
      </c>
      <c r="AV18" t="s">
        <v>73</v>
      </c>
      <c r="AW18">
        <v>0</v>
      </c>
      <c r="AX18" t="s">
        <v>73</v>
      </c>
      <c r="AY18" t="s">
        <v>158</v>
      </c>
      <c r="AZ18" t="s">
        <v>158</v>
      </c>
      <c r="BA18" t="s">
        <v>158</v>
      </c>
    </row>
    <row r="19" spans="1:53" ht="16" x14ac:dyDescent="0.2">
      <c r="A19" t="s">
        <v>153</v>
      </c>
      <c r="B19" t="s">
        <v>224</v>
      </c>
      <c r="C19" t="s">
        <v>225</v>
      </c>
      <c r="D19" t="s">
        <v>73</v>
      </c>
      <c r="E19" t="s">
        <v>72</v>
      </c>
      <c r="F19" t="s">
        <v>72</v>
      </c>
      <c r="G19" t="s">
        <v>73</v>
      </c>
      <c r="H19"/>
      <c r="I19">
        <v>14</v>
      </c>
      <c r="J19">
        <v>4</v>
      </c>
      <c r="K19"/>
      <c r="L19">
        <v>2</v>
      </c>
      <c r="M19"/>
      <c r="N19">
        <v>4</v>
      </c>
      <c r="O19">
        <v>3</v>
      </c>
      <c r="P19"/>
      <c r="Q19">
        <v>6</v>
      </c>
      <c r="R19">
        <v>3</v>
      </c>
      <c r="S19">
        <v>3</v>
      </c>
      <c r="T19">
        <v>0</v>
      </c>
      <c r="U19" t="s">
        <v>73</v>
      </c>
      <c r="V19">
        <v>0</v>
      </c>
      <c r="W19">
        <v>0</v>
      </c>
      <c r="X19">
        <v>4</v>
      </c>
      <c r="Y19">
        <v>1</v>
      </c>
      <c r="Z19">
        <v>3</v>
      </c>
      <c r="AA19">
        <v>0</v>
      </c>
      <c r="AB19">
        <v>0</v>
      </c>
      <c r="AC19" t="s">
        <v>73</v>
      </c>
      <c r="AD19">
        <v>4</v>
      </c>
      <c r="AE19">
        <v>4</v>
      </c>
      <c r="AF19">
        <v>0</v>
      </c>
      <c r="AG19">
        <v>0</v>
      </c>
      <c r="AH19">
        <v>1</v>
      </c>
      <c r="AI19">
        <v>66</v>
      </c>
      <c r="AJ19">
        <v>8</v>
      </c>
      <c r="AK19" t="s">
        <v>72</v>
      </c>
      <c r="AL19" t="s">
        <v>73</v>
      </c>
      <c r="AM19" s="42" t="s">
        <v>73</v>
      </c>
      <c r="AN19" t="s">
        <v>237</v>
      </c>
      <c r="AO19" s="56">
        <v>46003.786145833335</v>
      </c>
      <c r="AP19" s="56">
        <v>46044.745497685188</v>
      </c>
      <c r="AQ19" t="s">
        <v>73</v>
      </c>
      <c r="AR19" t="s">
        <v>73</v>
      </c>
      <c r="AS19" t="s">
        <v>73</v>
      </c>
      <c r="AT19" t="s">
        <v>73</v>
      </c>
      <c r="AU19" t="s">
        <v>73</v>
      </c>
      <c r="AV19" t="s">
        <v>73</v>
      </c>
      <c r="AW19">
        <v>0</v>
      </c>
      <c r="AX19" t="s">
        <v>73</v>
      </c>
      <c r="AY19" t="s">
        <v>158</v>
      </c>
      <c r="AZ19" t="s">
        <v>158</v>
      </c>
      <c r="BA19" t="s">
        <v>158</v>
      </c>
    </row>
    <row r="20" spans="1:53" ht="16" x14ac:dyDescent="0.2">
      <c r="A20" t="s">
        <v>153</v>
      </c>
      <c r="B20" t="s">
        <v>216</v>
      </c>
      <c r="C20" t="s">
        <v>217</v>
      </c>
      <c r="D20" t="s">
        <v>73</v>
      </c>
      <c r="E20" t="s">
        <v>72</v>
      </c>
      <c r="F20" t="s">
        <v>73</v>
      </c>
      <c r="G20" t="s">
        <v>73</v>
      </c>
      <c r="H20"/>
      <c r="I20">
        <v>9</v>
      </c>
      <c r="J20">
        <v>3</v>
      </c>
      <c r="K20"/>
      <c r="L20">
        <v>3</v>
      </c>
      <c r="M20"/>
      <c r="N20"/>
      <c r="O20"/>
      <c r="P20"/>
      <c r="Q20">
        <v>0</v>
      </c>
      <c r="R20">
        <v>0</v>
      </c>
      <c r="S20">
        <v>0</v>
      </c>
      <c r="T20">
        <v>0</v>
      </c>
      <c r="U20" t="s">
        <v>72</v>
      </c>
      <c r="V20">
        <v>0</v>
      </c>
      <c r="W20">
        <v>0</v>
      </c>
      <c r="X20">
        <v>4</v>
      </c>
      <c r="Y20">
        <v>2</v>
      </c>
      <c r="Z20">
        <v>1</v>
      </c>
      <c r="AA20">
        <v>0</v>
      </c>
      <c r="AB20">
        <v>1</v>
      </c>
      <c r="AC20" t="s">
        <v>72</v>
      </c>
      <c r="AD20">
        <v>3</v>
      </c>
      <c r="AE20">
        <v>3</v>
      </c>
      <c r="AF20">
        <v>0</v>
      </c>
      <c r="AG20">
        <v>3</v>
      </c>
      <c r="AH20">
        <v>0</v>
      </c>
      <c r="AI20">
        <v>77</v>
      </c>
      <c r="AJ20">
        <v>12</v>
      </c>
      <c r="AK20" t="s">
        <v>73</v>
      </c>
      <c r="AL20" t="s">
        <v>73</v>
      </c>
      <c r="AM20" s="42" t="s">
        <v>73</v>
      </c>
      <c r="AN20" t="s">
        <v>218</v>
      </c>
      <c r="AO20" s="56">
        <v>46003.541863425926</v>
      </c>
      <c r="AP20" s="56">
        <v>46044.745833333334</v>
      </c>
      <c r="AQ20" t="s">
        <v>217</v>
      </c>
      <c r="AR20" t="s">
        <v>78</v>
      </c>
      <c r="AS20" t="s">
        <v>76</v>
      </c>
      <c r="AT20" t="s">
        <v>219</v>
      </c>
      <c r="AU20" t="s">
        <v>220</v>
      </c>
      <c r="AV20" t="s">
        <v>221</v>
      </c>
      <c r="AW20">
        <v>20</v>
      </c>
      <c r="AX20" t="s">
        <v>73</v>
      </c>
      <c r="AY20" t="s">
        <v>158</v>
      </c>
      <c r="AZ20" t="s">
        <v>158</v>
      </c>
      <c r="BA20" t="s">
        <v>158</v>
      </c>
    </row>
    <row r="21" spans="1:53" ht="16" x14ac:dyDescent="0.2">
      <c r="A21" t="s">
        <v>153</v>
      </c>
      <c r="B21" t="s">
        <v>188</v>
      </c>
      <c r="C21" t="s">
        <v>189</v>
      </c>
      <c r="D21" t="s">
        <v>73</v>
      </c>
      <c r="E21" t="s">
        <v>72</v>
      </c>
      <c r="F21" t="s">
        <v>73</v>
      </c>
      <c r="G21" t="s">
        <v>73</v>
      </c>
      <c r="H21"/>
      <c r="I21">
        <v>8</v>
      </c>
      <c r="J21"/>
      <c r="K21"/>
      <c r="L21"/>
      <c r="M21"/>
      <c r="N21"/>
      <c r="O21"/>
      <c r="P21"/>
      <c r="Q21">
        <v>0</v>
      </c>
      <c r="R21">
        <v>0</v>
      </c>
      <c r="S21">
        <v>0</v>
      </c>
      <c r="T21">
        <v>0</v>
      </c>
      <c r="U21" t="s">
        <v>73</v>
      </c>
      <c r="V21">
        <v>0</v>
      </c>
      <c r="W21">
        <v>0</v>
      </c>
      <c r="X21">
        <v>0</v>
      </c>
      <c r="Y21">
        <v>0</v>
      </c>
      <c r="Z21">
        <v>0</v>
      </c>
      <c r="AA21">
        <v>0</v>
      </c>
      <c r="AB21">
        <v>0</v>
      </c>
      <c r="AC21" t="s">
        <v>73</v>
      </c>
      <c r="AD21">
        <v>0</v>
      </c>
      <c r="AE21">
        <v>0</v>
      </c>
      <c r="AF21">
        <v>0</v>
      </c>
      <c r="AG21">
        <v>0</v>
      </c>
      <c r="AH21">
        <v>0</v>
      </c>
      <c r="AI21">
        <v>11</v>
      </c>
      <c r="AJ21">
        <v>0</v>
      </c>
      <c r="AK21" t="s">
        <v>73</v>
      </c>
      <c r="AL21" t="s">
        <v>73</v>
      </c>
      <c r="AM21" s="42" t="s">
        <v>73</v>
      </c>
      <c r="AN21" t="s">
        <v>190</v>
      </c>
      <c r="AO21" s="56">
        <v>46000.696250000001</v>
      </c>
      <c r="AP21" s="56">
        <v>46000.654583333337</v>
      </c>
      <c r="AQ21" t="s">
        <v>73</v>
      </c>
      <c r="AR21" t="s">
        <v>73</v>
      </c>
      <c r="AS21" t="s">
        <v>73</v>
      </c>
      <c r="AT21" t="s">
        <v>73</v>
      </c>
      <c r="AU21" t="s">
        <v>73</v>
      </c>
      <c r="AV21" t="s">
        <v>73</v>
      </c>
      <c r="AW21">
        <v>0</v>
      </c>
      <c r="AX21" t="s">
        <v>73</v>
      </c>
      <c r="AY21" t="s">
        <v>158</v>
      </c>
      <c r="AZ21" t="s">
        <v>158</v>
      </c>
      <c r="BA21" t="s">
        <v>158</v>
      </c>
    </row>
    <row r="22" spans="1:53" ht="160" x14ac:dyDescent="0.2">
      <c r="A22" t="s">
        <v>153</v>
      </c>
      <c r="B22" t="s">
        <v>165</v>
      </c>
      <c r="C22" t="s">
        <v>166</v>
      </c>
      <c r="D22" t="s">
        <v>72</v>
      </c>
      <c r="E22" t="s">
        <v>73</v>
      </c>
      <c r="F22" t="s">
        <v>72</v>
      </c>
      <c r="G22" t="s">
        <v>73</v>
      </c>
      <c r="H22"/>
      <c r="I22">
        <v>4</v>
      </c>
      <c r="J22"/>
      <c r="K22"/>
      <c r="L22"/>
      <c r="M22"/>
      <c r="N22"/>
      <c r="O22"/>
      <c r="P22"/>
      <c r="Q22">
        <v>0</v>
      </c>
      <c r="R22">
        <v>0</v>
      </c>
      <c r="S22">
        <v>0</v>
      </c>
      <c r="T22">
        <v>0</v>
      </c>
      <c r="U22" t="s">
        <v>73</v>
      </c>
      <c r="V22">
        <v>0</v>
      </c>
      <c r="W22">
        <v>0</v>
      </c>
      <c r="X22">
        <v>0</v>
      </c>
      <c r="Y22">
        <v>0</v>
      </c>
      <c r="Z22">
        <v>0</v>
      </c>
      <c r="AA22">
        <v>0</v>
      </c>
      <c r="AB22">
        <v>0</v>
      </c>
      <c r="AC22" t="s">
        <v>73</v>
      </c>
      <c r="AD22">
        <v>6</v>
      </c>
      <c r="AE22">
        <v>6</v>
      </c>
      <c r="AF22">
        <v>0</v>
      </c>
      <c r="AG22">
        <v>0</v>
      </c>
      <c r="AH22">
        <v>0</v>
      </c>
      <c r="AI22">
        <v>10</v>
      </c>
      <c r="AJ22">
        <v>2</v>
      </c>
      <c r="AK22" t="s">
        <v>73</v>
      </c>
      <c r="AL22" t="s">
        <v>73</v>
      </c>
      <c r="AM22" s="42" t="s">
        <v>243</v>
      </c>
      <c r="AN22" t="s">
        <v>191</v>
      </c>
      <c r="AO22" s="56">
        <v>45999.829548611109</v>
      </c>
      <c r="AP22" s="56">
        <v>46004.501238425924</v>
      </c>
      <c r="AQ22" t="s">
        <v>73</v>
      </c>
      <c r="AR22" t="s">
        <v>73</v>
      </c>
      <c r="AS22" t="s">
        <v>73</v>
      </c>
      <c r="AT22" t="s">
        <v>73</v>
      </c>
      <c r="AU22" t="s">
        <v>73</v>
      </c>
      <c r="AV22" t="s">
        <v>73</v>
      </c>
      <c r="AW22">
        <v>0</v>
      </c>
      <c r="AX22" t="s">
        <v>73</v>
      </c>
      <c r="AY22" t="s">
        <v>158</v>
      </c>
      <c r="AZ22" t="s">
        <v>158</v>
      </c>
      <c r="BA22" t="s">
        <v>158</v>
      </c>
    </row>
    <row r="23" spans="1:53" ht="16" x14ac:dyDescent="0.2">
      <c r="A23" t="s">
        <v>153</v>
      </c>
      <c r="B23" t="s">
        <v>176</v>
      </c>
      <c r="C23" t="s">
        <v>177</v>
      </c>
      <c r="D23" t="s">
        <v>73</v>
      </c>
      <c r="E23" t="s">
        <v>72</v>
      </c>
      <c r="F23" t="s">
        <v>72</v>
      </c>
      <c r="G23" t="s">
        <v>73</v>
      </c>
      <c r="H23"/>
      <c r="I23">
        <v>4</v>
      </c>
      <c r="J23"/>
      <c r="K23"/>
      <c r="L23"/>
      <c r="M23"/>
      <c r="N23"/>
      <c r="O23"/>
      <c r="P23"/>
      <c r="Q23">
        <v>0</v>
      </c>
      <c r="R23">
        <v>0</v>
      </c>
      <c r="S23">
        <v>0</v>
      </c>
      <c r="T23">
        <v>0</v>
      </c>
      <c r="U23" t="s">
        <v>72</v>
      </c>
      <c r="V23">
        <v>0</v>
      </c>
      <c r="W23">
        <v>0</v>
      </c>
      <c r="X23">
        <v>0</v>
      </c>
      <c r="Y23">
        <v>0</v>
      </c>
      <c r="Z23">
        <v>0</v>
      </c>
      <c r="AA23">
        <v>0</v>
      </c>
      <c r="AB23">
        <v>0</v>
      </c>
      <c r="AC23" t="s">
        <v>73</v>
      </c>
      <c r="AD23">
        <v>6</v>
      </c>
      <c r="AE23">
        <v>6</v>
      </c>
      <c r="AF23">
        <v>0</v>
      </c>
      <c r="AG23">
        <v>6</v>
      </c>
      <c r="AH23">
        <v>0</v>
      </c>
      <c r="AI23">
        <v>40</v>
      </c>
      <c r="AJ23">
        <v>12</v>
      </c>
      <c r="AK23" t="s">
        <v>72</v>
      </c>
      <c r="AL23" t="s">
        <v>73</v>
      </c>
      <c r="AM23" s="42" t="s">
        <v>73</v>
      </c>
      <c r="AN23" t="s">
        <v>178</v>
      </c>
      <c r="AO23" s="56">
        <v>45998.928877314815</v>
      </c>
      <c r="AP23" s="56">
        <v>46006.883460648147</v>
      </c>
      <c r="AQ23" t="s">
        <v>177</v>
      </c>
      <c r="AR23" t="s">
        <v>78</v>
      </c>
      <c r="AS23" t="s">
        <v>179</v>
      </c>
      <c r="AT23" t="s">
        <v>288</v>
      </c>
      <c r="AU23" t="s">
        <v>180</v>
      </c>
      <c r="AV23" t="s">
        <v>181</v>
      </c>
      <c r="AW23">
        <v>12</v>
      </c>
      <c r="AX23" t="s">
        <v>73</v>
      </c>
      <c r="AY23" t="s">
        <v>158</v>
      </c>
      <c r="AZ23" t="s">
        <v>158</v>
      </c>
      <c r="BA23" t="s">
        <v>158</v>
      </c>
    </row>
    <row r="24" spans="1:53" ht="16" x14ac:dyDescent="0.2">
      <c r="A24" t="s">
        <v>153</v>
      </c>
      <c r="B24" t="s">
        <v>182</v>
      </c>
      <c r="C24" t="s">
        <v>183</v>
      </c>
      <c r="D24" t="s">
        <v>73</v>
      </c>
      <c r="E24" t="s">
        <v>72</v>
      </c>
      <c r="F24" t="s">
        <v>72</v>
      </c>
      <c r="G24" t="s">
        <v>73</v>
      </c>
      <c r="H24"/>
      <c r="I24">
        <v>8</v>
      </c>
      <c r="J24">
        <v>3</v>
      </c>
      <c r="K24"/>
      <c r="L24"/>
      <c r="M24"/>
      <c r="N24"/>
      <c r="O24"/>
      <c r="P24"/>
      <c r="Q24">
        <v>0</v>
      </c>
      <c r="R24">
        <v>0</v>
      </c>
      <c r="S24">
        <v>0</v>
      </c>
      <c r="T24">
        <v>0</v>
      </c>
      <c r="U24" t="s">
        <v>73</v>
      </c>
      <c r="V24">
        <v>0</v>
      </c>
      <c r="W24">
        <v>0</v>
      </c>
      <c r="X24">
        <v>0</v>
      </c>
      <c r="Y24">
        <v>0</v>
      </c>
      <c r="Z24">
        <v>0</v>
      </c>
      <c r="AA24">
        <v>0</v>
      </c>
      <c r="AB24">
        <v>0</v>
      </c>
      <c r="AC24" t="s">
        <v>72</v>
      </c>
      <c r="AD24">
        <v>0</v>
      </c>
      <c r="AE24">
        <v>0</v>
      </c>
      <c r="AF24">
        <v>0</v>
      </c>
      <c r="AG24">
        <v>0</v>
      </c>
      <c r="AH24">
        <v>2</v>
      </c>
      <c r="AI24">
        <v>35</v>
      </c>
      <c r="AJ24">
        <v>4</v>
      </c>
      <c r="AK24" t="s">
        <v>73</v>
      </c>
      <c r="AL24" t="s">
        <v>73</v>
      </c>
      <c r="AM24" s="42" t="s">
        <v>73</v>
      </c>
      <c r="AN24" t="s">
        <v>184</v>
      </c>
      <c r="AO24" s="56">
        <v>45998.522962962961</v>
      </c>
      <c r="AP24" s="56">
        <v>45998.481296296297</v>
      </c>
      <c r="AQ24" t="s">
        <v>73</v>
      </c>
      <c r="AR24" t="s">
        <v>73</v>
      </c>
      <c r="AS24" t="s">
        <v>73</v>
      </c>
      <c r="AT24" t="s">
        <v>73</v>
      </c>
      <c r="AU24" t="s">
        <v>73</v>
      </c>
      <c r="AV24" t="s">
        <v>73</v>
      </c>
      <c r="AW24">
        <v>0</v>
      </c>
      <c r="AX24" t="s">
        <v>73</v>
      </c>
      <c r="AY24" t="s">
        <v>158</v>
      </c>
      <c r="AZ24" t="s">
        <v>158</v>
      </c>
      <c r="BA24" t="s">
        <v>158</v>
      </c>
    </row>
    <row r="25" spans="1:53" ht="16" x14ac:dyDescent="0.2">
      <c r="A25" t="s">
        <v>153</v>
      </c>
      <c r="B25" t="s">
        <v>155</v>
      </c>
      <c r="C25" t="s">
        <v>156</v>
      </c>
      <c r="D25" t="s">
        <v>73</v>
      </c>
      <c r="E25" t="s">
        <v>72</v>
      </c>
      <c r="F25" t="s">
        <v>73</v>
      </c>
      <c r="G25" t="s">
        <v>73</v>
      </c>
      <c r="H25"/>
      <c r="I25">
        <v>4</v>
      </c>
      <c r="J25"/>
      <c r="K25"/>
      <c r="L25"/>
      <c r="M25"/>
      <c r="N25"/>
      <c r="O25"/>
      <c r="P25"/>
      <c r="Q25">
        <v>0</v>
      </c>
      <c r="R25">
        <v>0</v>
      </c>
      <c r="S25">
        <v>0</v>
      </c>
      <c r="T25">
        <v>0</v>
      </c>
      <c r="U25" t="s">
        <v>73</v>
      </c>
      <c r="V25">
        <v>0</v>
      </c>
      <c r="W25">
        <v>0</v>
      </c>
      <c r="X25">
        <v>0</v>
      </c>
      <c r="Y25">
        <v>0</v>
      </c>
      <c r="Z25">
        <v>0</v>
      </c>
      <c r="AA25">
        <v>0</v>
      </c>
      <c r="AB25">
        <v>0</v>
      </c>
      <c r="AC25" t="s">
        <v>73</v>
      </c>
      <c r="AD25">
        <v>4</v>
      </c>
      <c r="AE25">
        <v>4</v>
      </c>
      <c r="AF25">
        <v>0</v>
      </c>
      <c r="AG25">
        <v>4</v>
      </c>
      <c r="AH25">
        <v>0</v>
      </c>
      <c r="AI25">
        <v>50</v>
      </c>
      <c r="AJ25">
        <v>2</v>
      </c>
      <c r="AK25" t="s">
        <v>73</v>
      </c>
      <c r="AL25" t="s">
        <v>73</v>
      </c>
      <c r="AM25" s="42" t="s">
        <v>73</v>
      </c>
      <c r="AN25" t="s">
        <v>157</v>
      </c>
      <c r="AO25" s="56">
        <v>45995.857175925928</v>
      </c>
      <c r="AP25" s="56">
        <v>45995.815509259257</v>
      </c>
      <c r="AQ25" t="s">
        <v>73</v>
      </c>
      <c r="AR25" t="s">
        <v>73</v>
      </c>
      <c r="AS25" t="s">
        <v>73</v>
      </c>
      <c r="AT25" t="s">
        <v>73</v>
      </c>
      <c r="AU25" t="s">
        <v>73</v>
      </c>
      <c r="AV25" t="s">
        <v>73</v>
      </c>
      <c r="AW25">
        <v>0</v>
      </c>
      <c r="AX25" t="s">
        <v>73</v>
      </c>
      <c r="AY25" t="s">
        <v>158</v>
      </c>
      <c r="AZ25" t="s">
        <v>158</v>
      </c>
      <c r="BA25" t="s">
        <v>158</v>
      </c>
    </row>
    <row r="26" spans="1:53" ht="16" x14ac:dyDescent="0.2">
      <c r="A26" t="s">
        <v>153</v>
      </c>
      <c r="B26" t="s">
        <v>159</v>
      </c>
      <c r="C26" t="s">
        <v>160</v>
      </c>
      <c r="D26" t="s">
        <v>73</v>
      </c>
      <c r="E26" t="s">
        <v>72</v>
      </c>
      <c r="F26" t="s">
        <v>72</v>
      </c>
      <c r="G26" t="s">
        <v>73</v>
      </c>
      <c r="H26"/>
      <c r="I26"/>
      <c r="J26">
        <v>3</v>
      </c>
      <c r="K26"/>
      <c r="L26">
        <v>2</v>
      </c>
      <c r="M26"/>
      <c r="N26"/>
      <c r="O26"/>
      <c r="P26"/>
      <c r="Q26">
        <v>0</v>
      </c>
      <c r="R26">
        <v>0</v>
      </c>
      <c r="S26">
        <v>0</v>
      </c>
      <c r="T26">
        <v>0</v>
      </c>
      <c r="U26" t="s">
        <v>73</v>
      </c>
      <c r="V26">
        <v>0</v>
      </c>
      <c r="W26">
        <v>0</v>
      </c>
      <c r="X26">
        <v>4</v>
      </c>
      <c r="Y26">
        <v>4</v>
      </c>
      <c r="Z26">
        <v>0</v>
      </c>
      <c r="AA26">
        <v>0</v>
      </c>
      <c r="AB26">
        <v>0</v>
      </c>
      <c r="AC26" t="s">
        <v>73</v>
      </c>
      <c r="AD26">
        <v>0</v>
      </c>
      <c r="AE26">
        <v>0</v>
      </c>
      <c r="AF26">
        <v>0</v>
      </c>
      <c r="AG26">
        <v>0</v>
      </c>
      <c r="AH26">
        <v>0</v>
      </c>
      <c r="AI26">
        <v>100</v>
      </c>
      <c r="AJ26">
        <v>20</v>
      </c>
      <c r="AK26" t="s">
        <v>73</v>
      </c>
      <c r="AL26" t="s">
        <v>73</v>
      </c>
      <c r="AM26" s="42" t="s">
        <v>73</v>
      </c>
      <c r="AN26" t="s">
        <v>161</v>
      </c>
      <c r="AO26" s="56">
        <v>45993.666203703702</v>
      </c>
      <c r="AP26" s="56">
        <v>45993.624537037038</v>
      </c>
      <c r="AQ26" t="s">
        <v>73</v>
      </c>
      <c r="AR26" t="s">
        <v>73</v>
      </c>
      <c r="AS26" t="s">
        <v>73</v>
      </c>
      <c r="AT26" t="s">
        <v>73</v>
      </c>
      <c r="AU26" t="s">
        <v>73</v>
      </c>
      <c r="AV26" t="s">
        <v>73</v>
      </c>
      <c r="AW26">
        <v>0</v>
      </c>
      <c r="AX26" t="s">
        <v>73</v>
      </c>
      <c r="AY26" t="s">
        <v>158</v>
      </c>
      <c r="AZ26" t="s">
        <v>158</v>
      </c>
      <c r="BA26" t="s">
        <v>158</v>
      </c>
    </row>
    <row r="27" spans="1:53" x14ac:dyDescent="0.2">
      <c r="A27" t="s">
        <v>79</v>
      </c>
      <c r="C27">
        <f>SUBTOTAL(103,KDA_[Naam vereniging])</f>
        <v>21</v>
      </c>
      <c r="D27" s="1">
        <f>COUNTIF(KDA_[Delegatie],"x")</f>
        <v>2</v>
      </c>
      <c r="E27" s="1">
        <f>COUNTIF(KDA_[Muziekkorps tijdens mars en defilé],"x")</f>
        <v>18</v>
      </c>
      <c r="F27" s="1">
        <f>COUNTIF(KDA_[Deelname jeugdkoningschieten],"x")</f>
        <v>15</v>
      </c>
      <c r="G27" s="7">
        <f>COUNTIF(KDA_[Maj. Senioren jureren bij mars],"x")</f>
        <v>2</v>
      </c>
      <c r="H27" s="7">
        <f>COUNTIF(KDA_[Maj. Jeugd jureren bij mars],"x")</f>
        <v>3</v>
      </c>
      <c r="I27" s="1">
        <f>SUBTOTAL(109,KDA_[Korps senioren])</f>
        <v>114</v>
      </c>
      <c r="J27" s="1">
        <f>SUBTOTAL(109,KDA_[Junioren korps 1])</f>
        <v>16</v>
      </c>
      <c r="K27" s="1">
        <f>SUBTOTAL(109,KDA_[Junioren korps 2])</f>
        <v>0</v>
      </c>
      <c r="L27" s="1">
        <f>SUBTOTAL(109,KDA_[Aspiranten korps 1])</f>
        <v>27</v>
      </c>
      <c r="M27" s="1">
        <f>SUBTOTAL(109,KDA_[Aspiranten korps 2])</f>
        <v>0</v>
      </c>
      <c r="N27" s="1">
        <f>SUBTOTAL(109,KDA_[Acrobatisch senioren])</f>
        <v>8</v>
      </c>
      <c r="O27" s="1">
        <f>SUBTOTAL(109,KDA_[Acrobatisch junioren])</f>
        <v>3</v>
      </c>
      <c r="P27" s="1">
        <f>SUBTOTAL(109,KDA_[Acrobatisch aspiranten])</f>
        <v>0</v>
      </c>
      <c r="Q27">
        <f>SUBTOTAL(109,KDA_[Opgeven vendeliers ind.])</f>
        <v>12</v>
      </c>
      <c r="R27">
        <f>SUBTOTAL(109,KDA_[Acrob. senioren indiv.])</f>
        <v>8</v>
      </c>
      <c r="S27">
        <f>SUBTOTAL(109,KDA_[Acrob. junioren indiv.])</f>
        <v>4</v>
      </c>
      <c r="T27">
        <f>SUBTOTAL(109,KDA_[Acrob. aspiranten indiv.])</f>
        <v>0</v>
      </c>
      <c r="U27" s="7">
        <f>COUNTIF(KDA_[Deelname hoofdkorps],"x")</f>
        <v>6</v>
      </c>
      <c r="V27" s="1">
        <f>SUBTOTAL(109,KDA_[Groepen, teams, ensembles en duo''s])</f>
        <v>16</v>
      </c>
      <c r="W27" s="1">
        <f>SUBTOTAL(109,KDA_[Aantal opgegeven majorettes])</f>
        <v>29</v>
      </c>
      <c r="X27">
        <f>SUBTOTAL(109,KDA_[Opgeven bielemannen])</f>
        <v>22</v>
      </c>
      <c r="Y27" s="1">
        <f>SUBTOTAL(109,KDA_[Senioren])</f>
        <v>17</v>
      </c>
      <c r="Z27" s="1">
        <f>SUBTOTAL(109,KDA_[Jong Volwassene])</f>
        <v>4</v>
      </c>
      <c r="AA27" s="1">
        <f>SUBTOTAL(109,KDA_[Junioren])</f>
        <v>0</v>
      </c>
      <c r="AB27" s="1">
        <f>SUBTOTAL(109,KDA_[Aspiranten])</f>
        <v>1</v>
      </c>
      <c r="AC27" s="7">
        <f>COUNTIF(KDA_[Deelname marketentsters],"x")</f>
        <v>5</v>
      </c>
      <c r="AD27">
        <f>SUBTOTAL(109,KDA_[Aantal luchtgeweerschutters])</f>
        <v>77</v>
      </c>
      <c r="AE27" s="1">
        <f>SUBTOTAL(109,KDA_[Aantal luchtpistoolschutters])</f>
        <v>67</v>
      </c>
      <c r="AF27">
        <f>SUBTOTAL(109,KDA_[Aantal handboogschutters])</f>
        <v>6</v>
      </c>
      <c r="AG27" s="1">
        <f>SUBTOTAL(109,KDA_[Aantal kruisboogschutters])</f>
        <v>59</v>
      </c>
      <c r="AH27">
        <f>SUBTOTAL(109,KDA_[(Aantal jeugdkorpsen])</f>
        <v>9</v>
      </c>
      <c r="AI27" s="1">
        <f>SUBTOTAL(109,KDA_[Totaal aantal deelnemers])</f>
        <v>826</v>
      </c>
      <c r="AJ27" s="1">
        <f>SUBTOTAL(109,KDA_[Waarvan aantal jeugd (t/m 15 jaar)])</f>
        <v>120</v>
      </c>
      <c r="AK27" s="55">
        <f>COUNTIF(KDA_[Kanon etc.],"x")</f>
        <v>2</v>
      </c>
      <c r="AL27" s="1">
        <f>COUNTIF(KDA_[Paarden en/of koetsen],"x")</f>
        <v>0</v>
      </c>
      <c r="AM27" s="44"/>
      <c r="AW27" s="1">
        <f>SUBTOTAL(109,KDA_[Korps bestaat uit ... deelnemers (hoofdkorps)])</f>
        <v>182</v>
      </c>
      <c r="AX27"/>
    </row>
    <row r="28" spans="1:53" x14ac:dyDescent="0.2">
      <c r="AM28" s="42"/>
    </row>
  </sheetData>
  <mergeCells count="13">
    <mergeCell ref="A1:BA1"/>
    <mergeCell ref="A2:BA2"/>
    <mergeCell ref="AD3:AH4"/>
    <mergeCell ref="AI3:AQ4"/>
    <mergeCell ref="AR3:AW4"/>
    <mergeCell ref="AX3:BA4"/>
    <mergeCell ref="I4:M4"/>
    <mergeCell ref="Q4:T4"/>
    <mergeCell ref="N4:P4"/>
    <mergeCell ref="D3:H4"/>
    <mergeCell ref="J3:T3"/>
    <mergeCell ref="X3:AB4"/>
    <mergeCell ref="AC3:AC4"/>
  </mergeCells>
  <phoneticPr fontId="2" type="noConversion"/>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911A6-DC29-41D3-89D3-279D4FA48D93}">
  <dimension ref="A1:CJ11"/>
  <sheetViews>
    <sheetView workbookViewId="0">
      <selection activeCell="A6" sqref="A6:BM29"/>
    </sheetView>
  </sheetViews>
  <sheetFormatPr baseColWidth="10" defaultColWidth="9.1640625" defaultRowHeight="15" x14ac:dyDescent="0.2"/>
  <cols>
    <col min="1" max="1" width="10.33203125" bestFit="1" customWidth="1"/>
    <col min="2" max="2" width="8.6640625" bestFit="1" customWidth="1"/>
    <col min="3" max="3" width="16.5" bestFit="1" customWidth="1"/>
    <col min="4" max="9" width="8.5" bestFit="1" customWidth="1"/>
    <col min="10" max="11" width="16.33203125" bestFit="1" customWidth="1"/>
    <col min="12" max="13" width="18" bestFit="1" customWidth="1"/>
    <col min="14" max="14" width="8.5" bestFit="1" customWidth="1"/>
    <col min="15" max="17" width="7.6640625" hidden="1" customWidth="1"/>
    <col min="18" max="23" width="8.5" style="1" bestFit="1" customWidth="1"/>
    <col min="24" max="25" width="8.5" bestFit="1" customWidth="1"/>
    <col min="26" max="27" width="8.5" style="1" bestFit="1" customWidth="1"/>
    <col min="28" max="28" width="32.5" style="1" bestFit="1" customWidth="1"/>
    <col min="29" max="29" width="8.5" style="1" bestFit="1" customWidth="1"/>
    <col min="30" max="30" width="16.33203125" style="1" bestFit="1" customWidth="1"/>
    <col min="31" max="32" width="8.5" style="1" bestFit="1" customWidth="1"/>
    <col min="33" max="33" width="19.6640625" style="1" bestFit="1" customWidth="1"/>
    <col min="34" max="34" width="25.5" style="1" bestFit="1" customWidth="1"/>
    <col min="35" max="35" width="19.5" style="1" bestFit="1" customWidth="1"/>
    <col min="36" max="36" width="21" style="1" bestFit="1" customWidth="1"/>
    <col min="37" max="38" width="8.5" style="1" bestFit="1" customWidth="1"/>
    <col min="39" max="39" width="26.33203125" style="1" bestFit="1" customWidth="1"/>
    <col min="40" max="40" width="8.5" bestFit="1" customWidth="1"/>
    <col min="41" max="41" width="25.83203125" bestFit="1" customWidth="1"/>
    <col min="42" max="42" width="8.5" bestFit="1" customWidth="1"/>
    <col min="43" max="43" width="24.1640625" bestFit="1" customWidth="1"/>
    <col min="44" max="44" width="8.5" style="42" bestFit="1" customWidth="1"/>
    <col min="45" max="45" width="24" bestFit="1" customWidth="1"/>
    <col min="46" max="46" width="36.83203125" bestFit="1" customWidth="1"/>
    <col min="47" max="47" width="15.1640625" bestFit="1" customWidth="1"/>
    <col min="48" max="48" width="25.83203125" bestFit="1" customWidth="1"/>
    <col min="49" max="52" width="8.5" bestFit="1" customWidth="1"/>
    <col min="53" max="53" width="23.6640625" style="1" bestFit="1" customWidth="1"/>
    <col min="54" max="54" width="8.5" bestFit="1" customWidth="1"/>
    <col min="55" max="56" width="15" bestFit="1" customWidth="1"/>
    <col min="57" max="57" width="12.1640625" bestFit="1" customWidth="1"/>
    <col min="58" max="58" width="8.5" bestFit="1" customWidth="1"/>
    <col min="59" max="59" width="19.5" bestFit="1" customWidth="1"/>
    <col min="60" max="60" width="28.83203125" bestFit="1" customWidth="1"/>
    <col min="61" max="75" width="8.5" bestFit="1" customWidth="1"/>
    <col min="76" max="76" width="8" bestFit="1" customWidth="1"/>
    <col min="77" max="77" width="8.5" bestFit="1" customWidth="1"/>
    <col min="78" max="85" width="7.6640625" bestFit="1" customWidth="1"/>
    <col min="86" max="86" width="12.6640625" bestFit="1" customWidth="1"/>
    <col min="87" max="87" width="25" customWidth="1"/>
    <col min="88" max="88" width="15.6640625" bestFit="1" customWidth="1"/>
  </cols>
  <sheetData>
    <row r="1" spans="1:88" ht="27" customHeight="1" x14ac:dyDescent="0.2">
      <c r="A1" s="108" t="s">
        <v>84</v>
      </c>
      <c r="B1" s="108"/>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08"/>
      <c r="AD1" s="108"/>
      <c r="AE1" s="108"/>
      <c r="AF1" s="108"/>
      <c r="AG1" s="108"/>
      <c r="AH1" s="108"/>
      <c r="AI1" s="108"/>
      <c r="AJ1" s="108"/>
      <c r="AK1" s="108"/>
      <c r="AL1" s="108"/>
      <c r="AM1" s="108"/>
      <c r="AN1" s="108"/>
      <c r="AO1" s="108"/>
      <c r="AP1" s="108"/>
      <c r="AQ1" s="108"/>
      <c r="AR1" s="108"/>
      <c r="AS1" s="108"/>
      <c r="AT1" s="108"/>
      <c r="AU1" s="108"/>
      <c r="AV1" s="108"/>
      <c r="AW1" s="108"/>
      <c r="AX1" s="108"/>
      <c r="AY1" s="108"/>
      <c r="AZ1" s="108"/>
      <c r="BA1" s="108"/>
      <c r="BB1" s="108"/>
      <c r="BC1" s="108"/>
      <c r="BD1" s="108"/>
      <c r="BE1" s="108"/>
      <c r="BF1" s="108"/>
      <c r="BG1" s="108"/>
      <c r="BH1" s="108"/>
      <c r="BI1" s="108"/>
      <c r="BJ1" s="108"/>
      <c r="BK1" s="108"/>
      <c r="BL1" s="108"/>
      <c r="BM1" s="108"/>
      <c r="BN1" s="108"/>
      <c r="BO1" s="108"/>
      <c r="BP1" s="108"/>
      <c r="BQ1" s="108"/>
      <c r="BR1" s="108"/>
      <c r="BS1" s="108"/>
      <c r="BT1" s="108"/>
      <c r="BU1" s="108"/>
      <c r="BV1" s="108"/>
      <c r="BW1" s="108"/>
      <c r="BX1" s="108"/>
      <c r="BY1" s="108"/>
      <c r="BZ1" s="108"/>
      <c r="CA1" s="108"/>
      <c r="CB1" s="108"/>
      <c r="CC1" s="108"/>
      <c r="CD1" s="108"/>
      <c r="CE1" s="108"/>
      <c r="CF1" s="108"/>
      <c r="CG1" s="108"/>
      <c r="CH1" s="49"/>
      <c r="CI1" s="49"/>
      <c r="CJ1" s="49"/>
    </row>
    <row r="2" spans="1:88" ht="20" thickBot="1" x14ac:dyDescent="0.3">
      <c r="A2" s="109" t="s">
        <v>85</v>
      </c>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c r="AV2" s="109"/>
      <c r="AW2" s="109"/>
      <c r="AX2" s="109"/>
      <c r="AY2" s="109"/>
      <c r="AZ2" s="109"/>
      <c r="BA2" s="109"/>
      <c r="BB2" s="109"/>
      <c r="BC2" s="109"/>
      <c r="BD2" s="109"/>
      <c r="BE2" s="109"/>
      <c r="BF2" s="109"/>
      <c r="BG2" s="109"/>
      <c r="BH2" s="109"/>
      <c r="BI2" s="109"/>
      <c r="BJ2" s="109"/>
      <c r="BK2" s="109"/>
      <c r="BL2" s="109"/>
      <c r="BM2" s="109"/>
      <c r="BN2" s="109"/>
      <c r="BO2" s="109"/>
      <c r="BP2" s="109"/>
      <c r="BQ2" s="109"/>
      <c r="BR2" s="109"/>
      <c r="BS2" s="109"/>
      <c r="BT2" s="109"/>
      <c r="BU2" s="109"/>
      <c r="BV2" s="109"/>
      <c r="BW2" s="109"/>
      <c r="BX2" s="109"/>
      <c r="BY2" s="109"/>
      <c r="BZ2" s="109"/>
      <c r="CA2" s="109"/>
      <c r="CB2" s="109"/>
      <c r="CC2" s="109"/>
      <c r="CD2" s="109"/>
      <c r="CE2" s="109"/>
      <c r="CF2" s="109"/>
      <c r="CG2" s="109"/>
      <c r="CH2" s="50"/>
      <c r="CI2" s="50"/>
      <c r="CJ2" s="50"/>
    </row>
    <row r="3" spans="1:88" ht="16" thickBot="1" x14ac:dyDescent="0.25">
      <c r="A3" s="11"/>
      <c r="B3" s="12"/>
      <c r="C3" s="13"/>
      <c r="D3" s="111" t="s">
        <v>1</v>
      </c>
      <c r="E3" s="112"/>
      <c r="F3" s="112"/>
      <c r="G3" s="112"/>
      <c r="H3" s="113"/>
      <c r="I3" s="101" t="s">
        <v>2</v>
      </c>
      <c r="J3" s="102"/>
      <c r="K3" s="102"/>
      <c r="L3" s="102"/>
      <c r="M3" s="102"/>
      <c r="N3" s="102"/>
      <c r="O3" s="102"/>
      <c r="P3" s="102"/>
      <c r="Q3" s="102"/>
      <c r="R3" s="102"/>
      <c r="S3" s="102"/>
      <c r="T3" s="102"/>
      <c r="U3" s="102"/>
      <c r="V3" s="102"/>
      <c r="W3" s="103"/>
      <c r="X3" s="111" t="s">
        <v>3</v>
      </c>
      <c r="Y3" s="113"/>
      <c r="Z3" s="17" t="s">
        <v>4</v>
      </c>
      <c r="AA3" s="95" t="s">
        <v>5</v>
      </c>
      <c r="AB3" s="96"/>
      <c r="AC3" s="96"/>
      <c r="AD3" s="96"/>
      <c r="AE3" s="96"/>
      <c r="AF3" s="97"/>
      <c r="AG3" s="17" t="s">
        <v>6</v>
      </c>
      <c r="AH3" s="111" t="s">
        <v>7</v>
      </c>
      <c r="AI3" s="112"/>
      <c r="AJ3" s="112"/>
      <c r="AK3" s="112"/>
      <c r="AL3" s="112"/>
      <c r="AM3" s="113"/>
      <c r="AN3" s="111" t="s">
        <v>8</v>
      </c>
      <c r="AO3" s="112"/>
      <c r="AP3" s="112"/>
      <c r="AQ3" s="112"/>
      <c r="AR3" s="112"/>
      <c r="AS3" s="112"/>
      <c r="AT3" s="113"/>
      <c r="AU3" s="101" t="s">
        <v>9</v>
      </c>
      <c r="AV3" s="102"/>
      <c r="AW3" s="102"/>
      <c r="AX3" s="102"/>
      <c r="AY3" s="102"/>
      <c r="AZ3" s="102"/>
      <c r="BA3" s="102"/>
      <c r="BB3" s="102"/>
      <c r="BC3" s="102"/>
      <c r="BD3" s="102"/>
      <c r="BE3" s="102"/>
      <c r="BF3" s="102"/>
      <c r="BG3" s="102"/>
      <c r="BH3" s="102"/>
      <c r="BI3" s="102"/>
      <c r="BJ3" s="102"/>
      <c r="BK3" s="102"/>
      <c r="BL3" s="102"/>
      <c r="BM3" s="102"/>
      <c r="BN3" s="102"/>
      <c r="BO3" s="102"/>
      <c r="BP3" s="102"/>
      <c r="BQ3" s="102"/>
      <c r="BR3" s="102"/>
      <c r="BS3" s="102"/>
      <c r="BT3" s="102"/>
      <c r="BU3" s="102"/>
      <c r="BV3" s="102"/>
      <c r="BW3" s="102"/>
      <c r="BX3" s="102"/>
      <c r="BY3" s="102"/>
      <c r="BZ3" s="102"/>
      <c r="CA3" s="102"/>
      <c r="CB3" s="103"/>
      <c r="CC3" s="95" t="s">
        <v>10</v>
      </c>
      <c r="CD3" s="96"/>
      <c r="CE3" s="96"/>
      <c r="CF3" s="96"/>
      <c r="CG3" s="97"/>
      <c r="CH3" s="51"/>
      <c r="CI3" s="51"/>
      <c r="CJ3" s="51"/>
    </row>
    <row r="4" spans="1:88" ht="16" thickBot="1" x14ac:dyDescent="0.25">
      <c r="A4" s="14"/>
      <c r="B4" s="15"/>
      <c r="C4" s="16"/>
      <c r="D4" s="14"/>
      <c r="E4" s="15"/>
      <c r="F4" s="15"/>
      <c r="G4" s="15"/>
      <c r="H4" s="16"/>
      <c r="I4" s="101" t="s">
        <v>11</v>
      </c>
      <c r="J4" s="102"/>
      <c r="K4" s="103"/>
      <c r="L4" s="101" t="s">
        <v>12</v>
      </c>
      <c r="M4" s="102"/>
      <c r="N4" s="103"/>
      <c r="O4" s="101" t="s">
        <v>13</v>
      </c>
      <c r="P4" s="102"/>
      <c r="Q4" s="103"/>
      <c r="R4" s="101" t="s">
        <v>14</v>
      </c>
      <c r="S4" s="102"/>
      <c r="T4" s="102"/>
      <c r="U4" s="102"/>
      <c r="V4" s="102"/>
      <c r="W4" s="103"/>
      <c r="X4" s="14"/>
      <c r="Y4" s="16"/>
      <c r="Z4" s="18"/>
      <c r="AA4" s="14"/>
      <c r="AB4" s="15"/>
      <c r="AC4" s="15"/>
      <c r="AD4" s="15"/>
      <c r="AE4" s="15"/>
      <c r="AF4" s="16"/>
      <c r="AG4" s="18"/>
      <c r="AH4" s="14"/>
      <c r="AI4" s="15"/>
      <c r="AJ4" s="15"/>
      <c r="AK4" s="15"/>
      <c r="AL4" s="15"/>
      <c r="AM4" s="16"/>
      <c r="AN4" s="14"/>
      <c r="AO4" s="15"/>
      <c r="AP4" s="15"/>
      <c r="AQ4" s="15"/>
      <c r="AR4" s="43"/>
      <c r="AS4" s="15"/>
      <c r="AT4" s="16"/>
      <c r="AU4" s="101" t="s">
        <v>15</v>
      </c>
      <c r="AV4" s="102"/>
      <c r="AW4" s="102"/>
      <c r="AX4" s="102"/>
      <c r="AY4" s="102"/>
      <c r="AZ4" s="102"/>
      <c r="BA4" s="103"/>
      <c r="BB4" s="101" t="s">
        <v>16</v>
      </c>
      <c r="BC4" s="102"/>
      <c r="BD4" s="102"/>
      <c r="BE4" s="102"/>
      <c r="BF4" s="102"/>
      <c r="BG4" s="102"/>
      <c r="BH4" s="102"/>
      <c r="BI4" s="102"/>
      <c r="BJ4" s="102"/>
      <c r="BK4" s="102"/>
      <c r="BL4" s="102"/>
      <c r="BM4" s="102"/>
      <c r="BN4" s="102"/>
      <c r="BO4" s="102"/>
      <c r="BP4" s="102"/>
      <c r="BQ4" s="102"/>
      <c r="BR4" s="102"/>
      <c r="BS4" s="102"/>
      <c r="BT4" s="102"/>
      <c r="BU4" s="102"/>
      <c r="BV4" s="102"/>
      <c r="BW4" s="102"/>
      <c r="BX4" s="102"/>
      <c r="BY4" s="102"/>
      <c r="BZ4" s="102"/>
      <c r="CA4" s="102"/>
      <c r="CB4" s="103"/>
      <c r="CC4" s="8"/>
      <c r="CD4" s="9"/>
      <c r="CE4" s="9"/>
      <c r="CF4" s="9"/>
      <c r="CG4" s="10"/>
      <c r="CH4" s="51"/>
      <c r="CI4" s="51"/>
      <c r="CJ4" s="51"/>
    </row>
    <row r="5" spans="1:88" ht="16" thickBot="1" x14ac:dyDescent="0.25"/>
    <row r="6" spans="1:88" ht="212" x14ac:dyDescent="0.2">
      <c r="A6" s="5" t="s">
        <v>17</v>
      </c>
      <c r="B6" s="32" t="s">
        <v>18</v>
      </c>
      <c r="C6" s="33" t="s">
        <v>19</v>
      </c>
      <c r="D6" s="3" t="s">
        <v>20</v>
      </c>
      <c r="E6" s="3" t="s">
        <v>21</v>
      </c>
      <c r="F6" s="3" t="s">
        <v>22</v>
      </c>
      <c r="G6" s="3" t="s">
        <v>23</v>
      </c>
      <c r="H6" s="3" t="s">
        <v>24</v>
      </c>
      <c r="I6" s="36" t="s">
        <v>25</v>
      </c>
      <c r="J6" t="s">
        <v>121</v>
      </c>
      <c r="K6" t="s">
        <v>122</v>
      </c>
      <c r="L6" t="s">
        <v>123</v>
      </c>
      <c r="M6" t="s">
        <v>124</v>
      </c>
      <c r="N6" s="36" t="s">
        <v>26</v>
      </c>
      <c r="O6" s="34" t="s">
        <v>27</v>
      </c>
      <c r="P6" s="35" t="s">
        <v>28</v>
      </c>
      <c r="Q6" s="36" t="s">
        <v>29</v>
      </c>
      <c r="R6" s="34" t="s">
        <v>30</v>
      </c>
      <c r="S6" s="35" t="s">
        <v>31</v>
      </c>
      <c r="T6" s="36" t="s">
        <v>32</v>
      </c>
      <c r="U6" s="34" t="s">
        <v>33</v>
      </c>
      <c r="V6" s="34" t="s">
        <v>34</v>
      </c>
      <c r="W6" s="37" t="s">
        <v>35</v>
      </c>
      <c r="X6" s="37" t="s">
        <v>36</v>
      </c>
      <c r="Y6" s="38" t="s">
        <v>37</v>
      </c>
      <c r="Z6" s="36" t="s">
        <v>15</v>
      </c>
      <c r="AA6" s="35" t="s">
        <v>16</v>
      </c>
      <c r="AB6" t="s">
        <v>105</v>
      </c>
      <c r="AC6" s="36" t="s">
        <v>38</v>
      </c>
      <c r="AD6" t="s">
        <v>106</v>
      </c>
      <c r="AE6" s="34" t="s">
        <v>39</v>
      </c>
      <c r="AF6" s="34" t="s">
        <v>40</v>
      </c>
      <c r="AG6" t="s">
        <v>107</v>
      </c>
      <c r="AH6" t="s">
        <v>108</v>
      </c>
      <c r="AI6" t="s">
        <v>109</v>
      </c>
      <c r="AJ6" t="s">
        <v>110</v>
      </c>
      <c r="AK6" s="39" t="s">
        <v>41</v>
      </c>
      <c r="AL6" s="36" t="s">
        <v>42</v>
      </c>
      <c r="AM6" t="s">
        <v>117</v>
      </c>
      <c r="AN6" s="34" t="s">
        <v>43</v>
      </c>
      <c r="AO6" t="s">
        <v>118</v>
      </c>
      <c r="AP6" s="34" t="s">
        <v>45</v>
      </c>
      <c r="AQ6" t="s">
        <v>119</v>
      </c>
      <c r="AR6" s="34" t="s">
        <v>44</v>
      </c>
      <c r="AS6" t="s">
        <v>120</v>
      </c>
      <c r="AT6" t="s">
        <v>111</v>
      </c>
      <c r="AU6" t="s">
        <v>112</v>
      </c>
      <c r="AV6" t="s">
        <v>113</v>
      </c>
      <c r="AW6" s="36" t="s">
        <v>46</v>
      </c>
      <c r="AX6" s="34" t="s">
        <v>47</v>
      </c>
      <c r="AY6" s="34" t="s">
        <v>48</v>
      </c>
      <c r="AZ6" s="34" t="s">
        <v>49</v>
      </c>
      <c r="BA6" s="45" t="s">
        <v>50</v>
      </c>
      <c r="BB6" s="34" t="s">
        <v>51</v>
      </c>
      <c r="BC6" s="35" t="s">
        <v>52</v>
      </c>
      <c r="BD6" t="s">
        <v>103</v>
      </c>
      <c r="BE6" s="36" t="s">
        <v>53</v>
      </c>
      <c r="BF6" s="34" t="s">
        <v>54</v>
      </c>
      <c r="BG6" s="34" t="s">
        <v>55</v>
      </c>
      <c r="BH6" s="34" t="s">
        <v>56</v>
      </c>
      <c r="BI6" s="34" t="s">
        <v>57</v>
      </c>
      <c r="BJ6" s="34" t="s">
        <v>58</v>
      </c>
      <c r="BK6" s="35" t="s">
        <v>59</v>
      </c>
      <c r="BL6" s="36" t="s">
        <v>60</v>
      </c>
      <c r="BM6" s="34" t="s">
        <v>61</v>
      </c>
      <c r="BN6" s="34" t="s">
        <v>62</v>
      </c>
      <c r="BO6" s="34" t="s">
        <v>63</v>
      </c>
      <c r="BP6" s="34" t="s">
        <v>64</v>
      </c>
      <c r="BQ6" s="34" t="s">
        <v>65</v>
      </c>
      <c r="BR6" s="35" t="s">
        <v>66</v>
      </c>
      <c r="BS6" s="34" t="s">
        <v>70</v>
      </c>
      <c r="BT6" s="36" t="s">
        <v>67</v>
      </c>
      <c r="BU6" s="34" t="s">
        <v>68</v>
      </c>
      <c r="BV6" s="34" t="s">
        <v>69</v>
      </c>
      <c r="BW6" s="35" t="s">
        <v>71</v>
      </c>
    </row>
    <row r="7" spans="1:88" ht="16" x14ac:dyDescent="0.2">
      <c r="A7" s="6" t="s">
        <v>114</v>
      </c>
      <c r="B7" s="6" t="s">
        <v>125</v>
      </c>
      <c r="C7" s="6" t="s">
        <v>104</v>
      </c>
      <c r="D7" s="6" t="s">
        <v>73</v>
      </c>
      <c r="E7" s="6" t="s">
        <v>72</v>
      </c>
      <c r="F7" s="6" t="s">
        <v>72</v>
      </c>
      <c r="G7" s="6" t="s">
        <v>72</v>
      </c>
      <c r="H7" s="6" t="s">
        <v>74</v>
      </c>
      <c r="I7" s="6">
        <v>6</v>
      </c>
      <c r="J7">
        <v>4</v>
      </c>
      <c r="K7">
        <v>3</v>
      </c>
      <c r="L7">
        <v>4</v>
      </c>
      <c r="N7" s="6"/>
      <c r="O7" s="6"/>
      <c r="P7" s="6"/>
      <c r="Q7" s="6" t="s">
        <v>73</v>
      </c>
      <c r="R7" s="6" t="s">
        <v>73</v>
      </c>
      <c r="S7" s="6" t="s">
        <v>73</v>
      </c>
      <c r="T7" s="7">
        <v>6</v>
      </c>
      <c r="U7" s="7">
        <v>5</v>
      </c>
      <c r="V7" s="7">
        <v>4</v>
      </c>
      <c r="W7" s="7">
        <v>6</v>
      </c>
      <c r="X7" s="7">
        <v>5</v>
      </c>
      <c r="Y7" s="7">
        <v>4</v>
      </c>
      <c r="Z7" s="6" t="s">
        <v>72</v>
      </c>
      <c r="AA7" s="6" t="s">
        <v>73</v>
      </c>
      <c r="AB7">
        <v>1</v>
      </c>
      <c r="AC7" s="7">
        <v>10</v>
      </c>
      <c r="AD7">
        <v>5</v>
      </c>
      <c r="AE7" s="7">
        <v>4</v>
      </c>
      <c r="AF7" s="7">
        <v>3</v>
      </c>
      <c r="AG7">
        <v>10</v>
      </c>
      <c r="AH7">
        <v>5</v>
      </c>
      <c r="AI7">
        <v>4</v>
      </c>
      <c r="AJ7">
        <v>3</v>
      </c>
      <c r="AK7" s="7" t="s">
        <v>72</v>
      </c>
      <c r="AL7" s="7" t="s">
        <v>72</v>
      </c>
      <c r="AM7">
        <v>6</v>
      </c>
      <c r="AN7" s="7" t="s">
        <v>72</v>
      </c>
      <c r="AO7">
        <v>6</v>
      </c>
      <c r="AP7" s="7" t="s">
        <v>72</v>
      </c>
      <c r="AQ7">
        <v>5</v>
      </c>
      <c r="AR7" s="7" t="s">
        <v>72</v>
      </c>
      <c r="AS7">
        <v>6</v>
      </c>
      <c r="AT7" t="s">
        <v>72</v>
      </c>
      <c r="AU7">
        <v>2</v>
      </c>
      <c r="AV7">
        <v>2</v>
      </c>
      <c r="AW7" s="6">
        <v>100</v>
      </c>
      <c r="AX7" s="6">
        <v>25</v>
      </c>
      <c r="AY7" s="6" t="s">
        <v>73</v>
      </c>
      <c r="AZ7" s="6" t="s">
        <v>73</v>
      </c>
      <c r="BA7" s="41" t="s">
        <v>73</v>
      </c>
      <c r="BB7" s="6">
        <v>1804</v>
      </c>
      <c r="BC7" s="40">
        <v>45523.539861111109</v>
      </c>
      <c r="BD7" s="56">
        <v>45527.790335648147</v>
      </c>
      <c r="BE7" s="6" t="s">
        <v>104</v>
      </c>
      <c r="BF7" s="6" t="s">
        <v>78</v>
      </c>
      <c r="BG7" s="6" t="s">
        <v>76</v>
      </c>
      <c r="BH7" s="6" t="s">
        <v>77</v>
      </c>
      <c r="BI7" s="6" t="s">
        <v>115</v>
      </c>
      <c r="BJ7" s="6" t="s">
        <v>116</v>
      </c>
      <c r="BK7" s="7">
        <v>15</v>
      </c>
      <c r="BL7" s="6" t="s">
        <v>73</v>
      </c>
      <c r="BM7" s="6" t="s">
        <v>73</v>
      </c>
      <c r="BN7" s="6" t="s">
        <v>73</v>
      </c>
      <c r="BO7" s="6" t="s">
        <v>73</v>
      </c>
      <c r="BP7" s="6" t="s">
        <v>73</v>
      </c>
      <c r="BQ7" s="6" t="s">
        <v>73</v>
      </c>
      <c r="BR7" s="6"/>
      <c r="BS7" s="6" t="s">
        <v>75</v>
      </c>
      <c r="BT7" s="6" t="s">
        <v>128</v>
      </c>
      <c r="BU7" s="6" t="s">
        <v>129</v>
      </c>
      <c r="BV7" s="6" t="s">
        <v>130</v>
      </c>
      <c r="BW7" s="6">
        <v>9</v>
      </c>
    </row>
    <row r="8" spans="1:88" x14ac:dyDescent="0.2">
      <c r="A8" s="19" t="s">
        <v>79</v>
      </c>
      <c r="B8" s="19"/>
      <c r="C8" s="19">
        <f>SUBTOTAL(103,LJ[Naam vereniging])</f>
        <v>1</v>
      </c>
      <c r="D8" s="20">
        <f>COUNTIF(LJ[Delegatie],"x")</f>
        <v>0</v>
      </c>
      <c r="E8" s="20">
        <f>COUNTIF(LJ[Muziekkorps bij mars en defilé],"x")</f>
        <v>1</v>
      </c>
      <c r="F8" s="20">
        <f>COUNTIF(LJ[Deeln. jeugdkoningschieten],"x")</f>
        <v>1</v>
      </c>
      <c r="G8" s="20">
        <f>COUNTIF(LJ[Maj. Senioren jureren bij mars],"x")</f>
        <v>1</v>
      </c>
      <c r="H8" s="20">
        <f>COUNTIF(LJ[Maj. Jeugd jureren bij mars]," x")</f>
        <v>1</v>
      </c>
      <c r="I8" s="20">
        <f>COUNTIF(LJ[Korps senioren],"x")</f>
        <v>0</v>
      </c>
      <c r="J8" s="20" t="e">
        <f>COUNTIF(#REF!,"x")</f>
        <v>#REF!</v>
      </c>
      <c r="K8" s="20" t="e">
        <f>COUNTIF(#REF!,"x")</f>
        <v>#REF!</v>
      </c>
      <c r="L8" s="20">
        <f>COUNTIF(LJ[Acrobatisch senioren],"x")</f>
        <v>0</v>
      </c>
      <c r="M8" s="20">
        <f>COUNTIF(LJ[Acrobatisch junioren],"x")</f>
        <v>0</v>
      </c>
      <c r="N8" s="20">
        <f>COUNTIF(LJ[Acrobatisch aspiranten],"x")</f>
        <v>0</v>
      </c>
      <c r="O8" s="20">
        <f>COUNTIF(LJ[Show senioren],"x")</f>
        <v>0</v>
      </c>
      <c r="P8" s="20">
        <f>COUNTIF(LJ[Show junioren],"x")</f>
        <v>0</v>
      </c>
      <c r="Q8" s="20">
        <f>COUNTIF(LJ[Show aspiranten],"x")</f>
        <v>0</v>
      </c>
      <c r="R8" s="20">
        <f>SUBTOTAL(109,LJ[Senioren indiv.])</f>
        <v>6</v>
      </c>
      <c r="S8" s="20">
        <f>SUBTOTAL(109,LJ[Junioren indiv.])</f>
        <v>5</v>
      </c>
      <c r="T8" s="20">
        <f>SUBTOTAL(109,LJ[Aspiranten indiv.])</f>
        <v>4</v>
      </c>
      <c r="U8" s="20">
        <f>SUBTOTAL(109,LJ[Sen. ind opgegeven namen])</f>
        <v>6</v>
      </c>
      <c r="V8" s="20">
        <f>SUBTOTAL(109,LJ[Jun. ind opgegeven namen])</f>
        <v>5</v>
      </c>
      <c r="W8" s="20">
        <f>SUBTOTAL(109,LJ[Asp. ind opgegeven namen])</f>
        <v>4</v>
      </c>
      <c r="X8" s="20">
        <f>COUNTIF(LJ[Hoofdkorps],"x")</f>
        <v>1</v>
      </c>
      <c r="Y8" s="20">
        <f>COUNTIF(LJ[2e korps],"x")</f>
        <v>0</v>
      </c>
      <c r="Z8" s="20" t="e">
        <f>SUBTOTAL(109,#REF!)</f>
        <v>#REF!</v>
      </c>
      <c r="AA8" s="20">
        <f>SUBTOTAL(109,LJ[Senioren])</f>
        <v>10</v>
      </c>
      <c r="AB8" s="20">
        <f>SUBTOTAL(109,LJ[Junioren])</f>
        <v>4</v>
      </c>
      <c r="AC8" s="20">
        <f>SUBTOTAL(109,LJ[Aspiranten])</f>
        <v>3</v>
      </c>
      <c r="AD8" s="20" t="e">
        <f>SUBTOTAL(109,#REF!)</f>
        <v>#REF!</v>
      </c>
      <c r="AE8" s="20" t="e">
        <f>SUBTOTAL(109,#REF!)</f>
        <v>#REF!</v>
      </c>
      <c r="AF8" s="20" t="e">
        <f>SUBTOTAL(109,#REF!)</f>
        <v>#REF!</v>
      </c>
      <c r="AG8" s="20">
        <f>COUNTIF(LJ[Marketentsters],"x")</f>
        <v>1</v>
      </c>
      <c r="AH8" s="20">
        <f>COUNTIF(LJ[Luchtgeweer],"x")</f>
        <v>1</v>
      </c>
      <c r="AI8" s="20">
        <f>COUNTIF(LJ[Luchtpistool],"x")</f>
        <v>1</v>
      </c>
      <c r="AJ8" s="20">
        <f>COUNTIF(LJ[Kruisboog],"x")</f>
        <v>1</v>
      </c>
      <c r="AK8" s="20">
        <f>COUNTIF(LJ[Handboog],"x")</f>
        <v>1</v>
      </c>
      <c r="AL8" s="21" t="e">
        <f>COUNTIF(#REF!,"x")</f>
        <v>#REF!</v>
      </c>
      <c r="AM8" s="21" t="e">
        <f>SUBTOTAL(109,#REF!)</f>
        <v>#REF!</v>
      </c>
      <c r="AN8" s="20">
        <f>SUBTOTAL(109,LJ[Totaal aantal deelnemers])</f>
        <v>100</v>
      </c>
      <c r="AO8" s="22">
        <f>SUBTOTAL(109,LJ[Waarvan aantal jeugd (t/m 15 jaar)])</f>
        <v>25</v>
      </c>
      <c r="AP8" s="20"/>
      <c r="AQ8" s="20"/>
      <c r="AR8" s="46"/>
      <c r="AS8" s="20"/>
      <c r="AT8" s="20"/>
      <c r="AU8" s="19"/>
      <c r="AV8" s="19"/>
      <c r="AW8" s="19"/>
      <c r="AX8" s="19"/>
      <c r="AY8" s="19"/>
      <c r="AZ8" s="19"/>
      <c r="BA8" s="20"/>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20"/>
      <c r="CG8" s="20">
        <f>SUBTOTAL(109,LJ[Aantal opgegeven majorettes])</f>
        <v>9</v>
      </c>
      <c r="CH8" s="52"/>
      <c r="CI8" s="52"/>
      <c r="CJ8" s="52"/>
    </row>
    <row r="10" spans="1:88" x14ac:dyDescent="0.2">
      <c r="C10" s="23"/>
      <c r="D10" s="1"/>
    </row>
    <row r="11" spans="1:88" x14ac:dyDescent="0.2">
      <c r="C11" s="23"/>
      <c r="D11" s="47"/>
    </row>
  </sheetData>
  <mergeCells count="16">
    <mergeCell ref="I4:K4"/>
    <mergeCell ref="A1:CG1"/>
    <mergeCell ref="A2:CG2"/>
    <mergeCell ref="AN3:AT3"/>
    <mergeCell ref="D3:H3"/>
    <mergeCell ref="I3:W3"/>
    <mergeCell ref="X3:Y3"/>
    <mergeCell ref="AA3:AF3"/>
    <mergeCell ref="AH3:AM3"/>
    <mergeCell ref="L4:N4"/>
    <mergeCell ref="O4:Q4"/>
    <mergeCell ref="R4:W4"/>
    <mergeCell ref="AU3:CB3"/>
    <mergeCell ref="CC3:CG3"/>
    <mergeCell ref="AU4:BA4"/>
    <mergeCell ref="BB4:CB4"/>
  </mergeCells>
  <phoneticPr fontId="2" type="noConversion"/>
  <conditionalFormatting sqref="W6:W7">
    <cfRule type="expression" dxfId="7" priority="4">
      <formula>$T6-$W6&lt;&gt;0</formula>
    </cfRule>
  </conditionalFormatting>
  <conditionalFormatting sqref="X6:X7">
    <cfRule type="expression" dxfId="6" priority="5">
      <formula>$U6-$X6&lt;&gt;0</formula>
    </cfRule>
  </conditionalFormatting>
  <conditionalFormatting sqref="Y6:Y7">
    <cfRule type="expression" dxfId="5" priority="6">
      <formula>$V6-$Y6&lt;&gt;0</formula>
    </cfRule>
  </conditionalFormatting>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42596-4F98-4B71-A6F6-3C3FF5BF23D8}">
  <dimension ref="A1:FH47"/>
  <sheetViews>
    <sheetView zoomScale="110" zoomScaleNormal="110" workbookViewId="0">
      <pane xSplit="3" ySplit="6" topLeftCell="I9" activePane="bottomRight" state="frozen"/>
      <selection pane="topRight" activeCell="D1" sqref="D1"/>
      <selection pane="bottomLeft" activeCell="A7" sqref="A7"/>
      <selection pane="bottomRight" activeCell="AM9" sqref="AM9"/>
    </sheetView>
  </sheetViews>
  <sheetFormatPr baseColWidth="10" defaultColWidth="9.1640625" defaultRowHeight="15" x14ac:dyDescent="0.2"/>
  <cols>
    <col min="1" max="1" width="11" bestFit="1" customWidth="1"/>
    <col min="2" max="2" width="9.1640625" bestFit="1" customWidth="1"/>
    <col min="3" max="3" width="58.83203125" bestFit="1" customWidth="1"/>
    <col min="4" max="8" width="3.6640625" bestFit="1" customWidth="1"/>
    <col min="9" max="9" width="4.1640625" bestFit="1" customWidth="1"/>
    <col min="10" max="22" width="3.6640625" bestFit="1" customWidth="1"/>
    <col min="23" max="23" width="4.1640625" bestFit="1" customWidth="1"/>
    <col min="24" max="29" width="3.6640625" bestFit="1" customWidth="1"/>
    <col min="30" max="31" width="4.1640625" bestFit="1" customWidth="1"/>
    <col min="32" max="32" width="3.6640625" bestFit="1" customWidth="1"/>
    <col min="33" max="33" width="4.1640625" bestFit="1" customWidth="1"/>
    <col min="34" max="34" width="3.6640625" bestFit="1" customWidth="1"/>
    <col min="35" max="35" width="5.1640625" bestFit="1" customWidth="1"/>
    <col min="36" max="36" width="4.1640625" bestFit="1" customWidth="1"/>
    <col min="37" max="38" width="3.6640625" bestFit="1" customWidth="1"/>
    <col min="39" max="39" width="60.5" style="1" bestFit="1" customWidth="1"/>
    <col min="40" max="40" width="5.1640625" bestFit="1" customWidth="1"/>
    <col min="41" max="42" width="15" style="1" bestFit="1" customWidth="1"/>
    <col min="43" max="43" width="40.6640625" style="1" bestFit="1" customWidth="1"/>
    <col min="44" max="44" width="24.33203125" style="1" bestFit="1" customWidth="1"/>
    <col min="45" max="46" width="31" style="1" bestFit="1" customWidth="1"/>
    <col min="47" max="47" width="13.1640625" style="1" bestFit="1" customWidth="1"/>
    <col min="48" max="48" width="14.83203125" style="1" bestFit="1" customWidth="1"/>
    <col min="49" max="49" width="4.1640625" style="1" bestFit="1" customWidth="1"/>
    <col min="50" max="50" width="3.6640625" style="1" bestFit="1" customWidth="1"/>
    <col min="51" max="51" width="50.83203125" style="1" bestFit="1" customWidth="1"/>
    <col min="52" max="52" width="49.33203125" style="1" bestFit="1" customWidth="1"/>
    <col min="53" max="53" width="43" style="1" bestFit="1" customWidth="1"/>
    <col min="54" max="54" width="8.5" bestFit="1" customWidth="1"/>
    <col min="55" max="55" width="8.5" style="1" bestFit="1" customWidth="1"/>
    <col min="56" max="56" width="8.5" bestFit="1" customWidth="1"/>
    <col min="57" max="57" width="8.5" style="1" bestFit="1" customWidth="1"/>
    <col min="58" max="59" width="8.5" bestFit="1" customWidth="1"/>
    <col min="60" max="60" width="3.5" bestFit="1" customWidth="1"/>
    <col min="61" max="61" width="8.5" style="42" bestFit="1" customWidth="1"/>
    <col min="62" max="64" width="8.5" bestFit="1" customWidth="1"/>
    <col min="65" max="65" width="54" style="47" bestFit="1" customWidth="1"/>
    <col min="66" max="66" width="8.5" bestFit="1" customWidth="1"/>
    <col min="67" max="68" width="15" bestFit="1" customWidth="1"/>
    <col min="69" max="69" width="40.6640625" bestFit="1" customWidth="1"/>
    <col min="70" max="70" width="24.33203125" bestFit="1" customWidth="1"/>
    <col min="71" max="72" width="31" bestFit="1" customWidth="1"/>
    <col min="73" max="73" width="13.1640625" bestFit="1" customWidth="1"/>
    <col min="74" max="74" width="17.83203125" bestFit="1" customWidth="1"/>
    <col min="75" max="75" width="8.5" bestFit="1" customWidth="1"/>
    <col min="76" max="82" width="7.6640625" hidden="1" customWidth="1"/>
    <col min="83" max="83" width="8.5" bestFit="1" customWidth="1"/>
    <col min="84" max="84" width="49.6640625" bestFit="1" customWidth="1"/>
    <col min="85" max="85" width="54" bestFit="1" customWidth="1"/>
    <col min="86" max="86" width="50.6640625" bestFit="1" customWidth="1"/>
    <col min="87" max="87" width="8.5" bestFit="1" customWidth="1"/>
    <col min="88" max="88" width="39.33203125" bestFit="1" customWidth="1"/>
    <col min="89" max="89" width="42" bestFit="1" customWidth="1"/>
    <col min="90" max="90" width="35.6640625" bestFit="1" customWidth="1"/>
    <col min="91" max="92" width="7.6640625" bestFit="1" customWidth="1"/>
    <col min="93" max="93" width="10.1640625" bestFit="1" customWidth="1"/>
    <col min="98" max="130" width="9.1640625" style="1"/>
    <col min="131" max="132" width="9.1640625" style="4"/>
    <col min="133" max="136" width="9.1640625" style="1"/>
    <col min="137" max="137" width="9.1640625" style="42"/>
    <col min="138" max="139" width="9.1640625" style="1"/>
    <col min="157" max="164" width="9.1640625" style="1"/>
  </cols>
  <sheetData>
    <row r="1" spans="1:164" ht="19" x14ac:dyDescent="0.2">
      <c r="A1" s="108" t="s">
        <v>86</v>
      </c>
      <c r="B1" s="108"/>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08"/>
      <c r="AD1" s="108"/>
      <c r="AE1" s="108"/>
      <c r="AF1" s="108"/>
      <c r="AG1" s="108"/>
      <c r="AH1" s="108"/>
      <c r="AI1" s="108"/>
      <c r="AJ1" s="108"/>
      <c r="AK1" s="108"/>
      <c r="AL1" s="108"/>
      <c r="AM1" s="108"/>
      <c r="AN1" s="108"/>
      <c r="AO1" s="108"/>
      <c r="AP1" s="108"/>
      <c r="AQ1" s="108"/>
      <c r="AR1" s="108"/>
      <c r="AS1" s="108"/>
      <c r="AT1" s="108"/>
      <c r="AU1" s="108"/>
      <c r="AV1" s="108"/>
      <c r="AW1" s="108"/>
      <c r="AX1" s="108"/>
      <c r="AY1" s="108"/>
      <c r="AZ1" s="108"/>
      <c r="BA1" s="108"/>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row>
    <row r="2" spans="1:164" ht="20" thickBot="1" x14ac:dyDescent="0.3">
      <c r="A2" s="109" t="s">
        <v>171</v>
      </c>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c r="AV2" s="109"/>
      <c r="AW2" s="109"/>
      <c r="AX2" s="109"/>
      <c r="AY2" s="109"/>
      <c r="AZ2" s="109"/>
      <c r="BA2" s="109"/>
      <c r="BB2" s="76"/>
      <c r="BC2" s="76"/>
      <c r="BD2" s="76"/>
      <c r="BE2" s="76"/>
      <c r="BF2" s="76"/>
      <c r="BG2" s="76"/>
      <c r="BH2" s="76"/>
      <c r="BI2" s="76"/>
      <c r="BJ2" s="76"/>
      <c r="BK2" s="76"/>
      <c r="BL2" s="76"/>
      <c r="BM2" s="76"/>
      <c r="BN2" s="76"/>
      <c r="BO2" s="76"/>
      <c r="BP2" s="76"/>
      <c r="BQ2" s="76"/>
      <c r="BR2" s="76"/>
      <c r="BS2" s="76"/>
      <c r="BT2" s="76"/>
      <c r="BU2" s="76"/>
      <c r="BV2" s="76"/>
      <c r="BW2" s="76"/>
      <c r="BX2" s="76"/>
      <c r="BY2" s="76"/>
      <c r="BZ2" s="76"/>
      <c r="CA2" s="76"/>
      <c r="CB2" s="76"/>
      <c r="CC2" s="76"/>
      <c r="CD2" s="76"/>
      <c r="CE2" s="76"/>
      <c r="CF2" s="76"/>
      <c r="CG2" s="76"/>
      <c r="CH2" s="76"/>
      <c r="CI2" s="76"/>
    </row>
    <row r="3" spans="1:164" ht="33" customHeight="1" thickBot="1" x14ac:dyDescent="0.25">
      <c r="A3" s="67"/>
      <c r="B3" s="68"/>
      <c r="C3" s="69"/>
      <c r="D3" s="95" t="s">
        <v>1</v>
      </c>
      <c r="E3" s="96"/>
      <c r="F3" s="96"/>
      <c r="G3" s="96"/>
      <c r="H3" s="97"/>
      <c r="I3" s="72"/>
      <c r="J3" s="102" t="s">
        <v>2</v>
      </c>
      <c r="K3" s="102"/>
      <c r="L3" s="102"/>
      <c r="M3" s="102"/>
      <c r="N3" s="102"/>
      <c r="O3" s="102"/>
      <c r="P3" s="102"/>
      <c r="Q3" s="102"/>
      <c r="R3" s="102"/>
      <c r="S3" s="102"/>
      <c r="T3" s="103"/>
      <c r="U3" s="17" t="s">
        <v>3</v>
      </c>
      <c r="V3" s="11" t="s">
        <v>150</v>
      </c>
      <c r="W3" s="13"/>
      <c r="X3" s="95" t="s">
        <v>5</v>
      </c>
      <c r="Y3" s="96"/>
      <c r="Z3" s="96"/>
      <c r="AA3" s="96"/>
      <c r="AB3" s="97"/>
      <c r="AC3" s="106" t="s">
        <v>151</v>
      </c>
      <c r="AD3" s="95" t="s">
        <v>7</v>
      </c>
      <c r="AE3" s="96"/>
      <c r="AF3" s="96"/>
      <c r="AG3" s="96"/>
      <c r="AH3" s="97"/>
      <c r="AI3" s="95" t="s">
        <v>8</v>
      </c>
      <c r="AJ3" s="96"/>
      <c r="AK3" s="96"/>
      <c r="AL3" s="96"/>
      <c r="AM3" s="96"/>
      <c r="AN3" s="96"/>
      <c r="AO3" s="96"/>
      <c r="AP3" s="96"/>
      <c r="AQ3" s="97"/>
      <c r="AR3" s="89" t="s">
        <v>9</v>
      </c>
      <c r="AS3" s="90"/>
      <c r="AT3" s="90"/>
      <c r="AU3" s="90"/>
      <c r="AV3" s="90"/>
      <c r="AW3" s="91"/>
      <c r="AX3" s="95" t="s">
        <v>152</v>
      </c>
      <c r="AY3" s="96"/>
      <c r="AZ3" s="96"/>
      <c r="BA3" s="97"/>
      <c r="BC3"/>
      <c r="BE3"/>
      <c r="BI3"/>
      <c r="BM3"/>
      <c r="BW3" s="1"/>
      <c r="BX3" s="24"/>
      <c r="BY3" s="24"/>
      <c r="BZ3" s="24"/>
      <c r="CA3" s="24"/>
      <c r="CB3" s="24"/>
      <c r="CC3" s="24"/>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FA3"/>
      <c r="FB3"/>
      <c r="FC3"/>
      <c r="FD3"/>
      <c r="FE3"/>
      <c r="FF3"/>
      <c r="FG3"/>
      <c r="FH3"/>
    </row>
    <row r="4" spans="1:164" ht="16" thickBot="1" x14ac:dyDescent="0.25">
      <c r="A4" s="70"/>
      <c r="B4" s="71"/>
      <c r="C4" s="61"/>
      <c r="D4" s="98"/>
      <c r="E4" s="99"/>
      <c r="F4" s="99"/>
      <c r="G4" s="99"/>
      <c r="H4" s="100"/>
      <c r="I4" s="101" t="s">
        <v>11</v>
      </c>
      <c r="J4" s="104"/>
      <c r="K4" s="104"/>
      <c r="L4" s="104"/>
      <c r="M4" s="105"/>
      <c r="N4" s="101" t="s">
        <v>87</v>
      </c>
      <c r="O4" s="102"/>
      <c r="P4" s="103"/>
      <c r="Q4" s="101" t="s">
        <v>14</v>
      </c>
      <c r="R4" s="102"/>
      <c r="S4" s="102"/>
      <c r="T4" s="102"/>
      <c r="U4" s="18"/>
      <c r="V4" s="14"/>
      <c r="W4" s="16"/>
      <c r="X4" s="98"/>
      <c r="Y4" s="99"/>
      <c r="Z4" s="99"/>
      <c r="AA4" s="99"/>
      <c r="AB4" s="100"/>
      <c r="AC4" s="107"/>
      <c r="AD4" s="98"/>
      <c r="AE4" s="99"/>
      <c r="AF4" s="99"/>
      <c r="AG4" s="99"/>
      <c r="AH4" s="100"/>
      <c r="AI4" s="98"/>
      <c r="AJ4" s="99"/>
      <c r="AK4" s="99"/>
      <c r="AL4" s="99"/>
      <c r="AM4" s="99"/>
      <c r="AN4" s="99"/>
      <c r="AO4" s="99"/>
      <c r="AP4" s="99"/>
      <c r="AQ4" s="100"/>
      <c r="AR4" s="92"/>
      <c r="AS4" s="93"/>
      <c r="AT4" s="93"/>
      <c r="AU4" s="93"/>
      <c r="AV4" s="93"/>
      <c r="AW4" s="94"/>
      <c r="AX4" s="98"/>
      <c r="AY4" s="99"/>
      <c r="AZ4" s="99"/>
      <c r="BA4" s="100"/>
      <c r="BC4"/>
      <c r="BE4"/>
      <c r="BI4"/>
      <c r="BM4"/>
      <c r="BW4" s="1"/>
      <c r="BX4" s="24"/>
      <c r="BY4" s="24"/>
      <c r="BZ4" s="24"/>
      <c r="CA4" s="24"/>
      <c r="CB4" s="24"/>
      <c r="CC4" s="2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FA4"/>
      <c r="FB4"/>
      <c r="FC4"/>
      <c r="FD4"/>
      <c r="FE4"/>
      <c r="FF4"/>
      <c r="FG4"/>
      <c r="FH4"/>
    </row>
    <row r="5" spans="1:164" ht="6.75" hidden="1" customHeight="1" x14ac:dyDescent="0.2">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N5" s="1"/>
      <c r="BB5" s="1"/>
      <c r="BD5" s="44"/>
      <c r="BF5" s="1"/>
      <c r="BG5" s="1"/>
      <c r="BH5" s="1"/>
      <c r="BI5" s="44"/>
      <c r="BJ5" s="1"/>
      <c r="BK5" s="1"/>
      <c r="BL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FA5"/>
      <c r="FB5"/>
      <c r="FC5"/>
      <c r="FD5"/>
      <c r="FE5"/>
      <c r="FF5"/>
      <c r="FG5"/>
      <c r="FH5"/>
    </row>
    <row r="6" spans="1:164" s="74" customFormat="1" ht="278" thickBot="1" x14ac:dyDescent="0.25">
      <c r="A6" s="73" t="s">
        <v>17</v>
      </c>
      <c r="B6" s="73" t="s">
        <v>149</v>
      </c>
      <c r="C6" s="73" t="s">
        <v>19</v>
      </c>
      <c r="D6" s="77" t="s">
        <v>20</v>
      </c>
      <c r="E6" s="78" t="s">
        <v>141</v>
      </c>
      <c r="F6" s="78" t="s">
        <v>142</v>
      </c>
      <c r="G6" s="78" t="s">
        <v>23</v>
      </c>
      <c r="H6" s="79" t="s">
        <v>24</v>
      </c>
      <c r="I6" s="77" t="s">
        <v>25</v>
      </c>
      <c r="J6" s="78" t="s">
        <v>121</v>
      </c>
      <c r="K6" s="78" t="s">
        <v>122</v>
      </c>
      <c r="L6" s="78" t="s">
        <v>123</v>
      </c>
      <c r="M6" s="78" t="s">
        <v>124</v>
      </c>
      <c r="N6" s="78" t="s">
        <v>26</v>
      </c>
      <c r="O6" s="78" t="s">
        <v>27</v>
      </c>
      <c r="P6" s="78" t="s">
        <v>28</v>
      </c>
      <c r="Q6" s="78" t="s">
        <v>146</v>
      </c>
      <c r="R6" s="78" t="s">
        <v>133</v>
      </c>
      <c r="S6" s="78" t="s">
        <v>134</v>
      </c>
      <c r="T6" s="79" t="s">
        <v>135</v>
      </c>
      <c r="U6" s="80" t="s">
        <v>144</v>
      </c>
      <c r="V6" s="77" t="s">
        <v>105</v>
      </c>
      <c r="W6" s="79" t="s">
        <v>71</v>
      </c>
      <c r="X6" s="77" t="s">
        <v>147</v>
      </c>
      <c r="Y6" s="78" t="s">
        <v>38</v>
      </c>
      <c r="Z6" s="78" t="s">
        <v>140</v>
      </c>
      <c r="AA6" s="78" t="s">
        <v>39</v>
      </c>
      <c r="AB6" s="79" t="s">
        <v>40</v>
      </c>
      <c r="AC6" s="80" t="s">
        <v>143</v>
      </c>
      <c r="AD6" s="77" t="s">
        <v>117</v>
      </c>
      <c r="AE6" s="78" t="s">
        <v>118</v>
      </c>
      <c r="AF6" s="78" t="s">
        <v>119</v>
      </c>
      <c r="AG6" s="78" t="s">
        <v>120</v>
      </c>
      <c r="AH6" s="79" t="s">
        <v>148</v>
      </c>
      <c r="AI6" s="81" t="s">
        <v>46</v>
      </c>
      <c r="AJ6" s="78" t="s">
        <v>47</v>
      </c>
      <c r="AK6" s="78" t="s">
        <v>48</v>
      </c>
      <c r="AL6" s="78" t="s">
        <v>49</v>
      </c>
      <c r="AM6" s="82" t="s">
        <v>50</v>
      </c>
      <c r="AN6" s="78" t="s">
        <v>51</v>
      </c>
      <c r="AO6" s="78" t="s">
        <v>52</v>
      </c>
      <c r="AP6" s="78" t="s">
        <v>103</v>
      </c>
      <c r="AQ6" s="79" t="s">
        <v>53</v>
      </c>
      <c r="AR6" s="77" t="s">
        <v>54</v>
      </c>
      <c r="AS6" s="78" t="s">
        <v>55</v>
      </c>
      <c r="AT6" s="78" t="s">
        <v>56</v>
      </c>
      <c r="AU6" s="78" t="s">
        <v>57</v>
      </c>
      <c r="AV6" s="78" t="s">
        <v>58</v>
      </c>
      <c r="AW6" s="79" t="s">
        <v>59</v>
      </c>
      <c r="AX6" s="77" t="s">
        <v>145</v>
      </c>
      <c r="AY6" s="78" t="s">
        <v>67</v>
      </c>
      <c r="AZ6" s="78" t="s">
        <v>68</v>
      </c>
      <c r="BA6" s="78" t="s">
        <v>69</v>
      </c>
    </row>
    <row r="7" spans="1:164" ht="16" x14ac:dyDescent="0.2">
      <c r="A7" t="s">
        <v>185</v>
      </c>
      <c r="B7" t="s">
        <v>457</v>
      </c>
      <c r="C7" t="s">
        <v>458</v>
      </c>
      <c r="D7" s="1" t="s">
        <v>73</v>
      </c>
      <c r="E7" t="s">
        <v>72</v>
      </c>
      <c r="F7" t="s">
        <v>73</v>
      </c>
      <c r="G7" s="1" t="s">
        <v>73</v>
      </c>
      <c r="H7" s="1"/>
      <c r="I7" s="1">
        <v>10</v>
      </c>
      <c r="J7">
        <v>4</v>
      </c>
      <c r="N7" s="1"/>
      <c r="O7" s="1"/>
      <c r="P7" s="1"/>
      <c r="Q7">
        <v>1</v>
      </c>
      <c r="R7">
        <v>1</v>
      </c>
      <c r="S7">
        <v>0</v>
      </c>
      <c r="T7">
        <v>0</v>
      </c>
      <c r="U7" t="s">
        <v>73</v>
      </c>
      <c r="V7">
        <v>0</v>
      </c>
      <c r="W7" s="1">
        <v>0</v>
      </c>
      <c r="X7">
        <v>4</v>
      </c>
      <c r="Y7" s="1">
        <v>3</v>
      </c>
      <c r="Z7">
        <v>1</v>
      </c>
      <c r="AA7" s="1">
        <v>0</v>
      </c>
      <c r="AB7" s="1">
        <v>0</v>
      </c>
      <c r="AC7" t="s">
        <v>72</v>
      </c>
      <c r="AD7" s="1">
        <v>6</v>
      </c>
      <c r="AE7" s="1">
        <v>6</v>
      </c>
      <c r="AF7" s="1">
        <v>0</v>
      </c>
      <c r="AG7" s="1">
        <v>6</v>
      </c>
      <c r="AH7">
        <v>1</v>
      </c>
      <c r="AI7" s="1">
        <v>68</v>
      </c>
      <c r="AJ7" s="1">
        <v>12</v>
      </c>
      <c r="AK7" s="1" t="s">
        <v>72</v>
      </c>
      <c r="AL7" s="1" t="s">
        <v>73</v>
      </c>
      <c r="AM7" s="63" t="s">
        <v>73</v>
      </c>
      <c r="AN7" s="1">
        <v>2176</v>
      </c>
      <c r="AO7" s="84">
        <v>46023.620659722219</v>
      </c>
      <c r="AP7" s="56">
        <v>46023.578993055555</v>
      </c>
      <c r="AQ7" s="1" t="s">
        <v>73</v>
      </c>
      <c r="AR7" s="1" t="s">
        <v>73</v>
      </c>
      <c r="AS7" s="1" t="s">
        <v>73</v>
      </c>
      <c r="AT7" s="1" t="s">
        <v>73</v>
      </c>
      <c r="AU7" s="1" t="s">
        <v>73</v>
      </c>
      <c r="AV7" s="1" t="s">
        <v>73</v>
      </c>
      <c r="AW7" s="1">
        <v>0</v>
      </c>
      <c r="AX7" t="s">
        <v>73</v>
      </c>
      <c r="AY7" s="1" t="s">
        <v>158</v>
      </c>
      <c r="AZ7" s="1" t="s">
        <v>158</v>
      </c>
      <c r="BA7" s="1" t="s">
        <v>158</v>
      </c>
      <c r="BC7"/>
      <c r="BF7" s="1"/>
      <c r="BG7" s="1"/>
      <c r="BH7" s="1"/>
      <c r="BI7" s="1"/>
      <c r="BJ7" s="1"/>
      <c r="BK7" s="1"/>
      <c r="BL7" s="1"/>
      <c r="BM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FA7"/>
      <c r="FB7"/>
      <c r="FC7"/>
      <c r="FD7"/>
      <c r="FE7"/>
      <c r="FF7"/>
      <c r="FG7"/>
      <c r="FH7"/>
    </row>
    <row r="8" spans="1:164" ht="48" x14ac:dyDescent="0.2">
      <c r="A8" t="s">
        <v>185</v>
      </c>
      <c r="B8" t="s">
        <v>436</v>
      </c>
      <c r="C8" t="s">
        <v>437</v>
      </c>
      <c r="D8" s="1" t="s">
        <v>73</v>
      </c>
      <c r="E8" t="s">
        <v>72</v>
      </c>
      <c r="F8" t="s">
        <v>72</v>
      </c>
      <c r="G8" s="1" t="s">
        <v>73</v>
      </c>
      <c r="H8" s="1"/>
      <c r="I8" s="1">
        <v>10</v>
      </c>
      <c r="J8">
        <v>6</v>
      </c>
      <c r="N8" s="1">
        <v>3</v>
      </c>
      <c r="O8" s="1"/>
      <c r="P8" s="1"/>
      <c r="Q8">
        <v>0</v>
      </c>
      <c r="R8">
        <v>0</v>
      </c>
      <c r="S8">
        <v>0</v>
      </c>
      <c r="T8">
        <v>0</v>
      </c>
      <c r="U8" t="s">
        <v>73</v>
      </c>
      <c r="V8">
        <v>0</v>
      </c>
      <c r="W8" s="1">
        <v>0</v>
      </c>
      <c r="X8">
        <v>5</v>
      </c>
      <c r="Y8" s="1">
        <v>3</v>
      </c>
      <c r="Z8">
        <v>1</v>
      </c>
      <c r="AA8" s="1">
        <v>0</v>
      </c>
      <c r="AB8" s="1">
        <v>1</v>
      </c>
      <c r="AC8" t="s">
        <v>73</v>
      </c>
      <c r="AD8" s="1">
        <v>4</v>
      </c>
      <c r="AE8" s="1">
        <v>0</v>
      </c>
      <c r="AF8" s="1">
        <v>0</v>
      </c>
      <c r="AG8" s="1">
        <v>0</v>
      </c>
      <c r="AH8">
        <v>0</v>
      </c>
      <c r="AI8" s="1">
        <v>60</v>
      </c>
      <c r="AJ8" s="1">
        <v>20</v>
      </c>
      <c r="AK8" s="1" t="s">
        <v>72</v>
      </c>
      <c r="AL8" s="1" t="s">
        <v>73</v>
      </c>
      <c r="AM8" s="63" t="s">
        <v>451</v>
      </c>
      <c r="AN8" s="1">
        <v>2169</v>
      </c>
      <c r="AO8" s="84">
        <v>46021.889675925922</v>
      </c>
      <c r="AP8" s="56">
        <v>46021.850231481483</v>
      </c>
      <c r="AQ8" s="1" t="s">
        <v>73</v>
      </c>
      <c r="AR8" s="1" t="s">
        <v>73</v>
      </c>
      <c r="AS8" s="1" t="s">
        <v>73</v>
      </c>
      <c r="AT8" s="1" t="s">
        <v>73</v>
      </c>
      <c r="AU8" s="1" t="s">
        <v>73</v>
      </c>
      <c r="AV8" s="1" t="s">
        <v>73</v>
      </c>
      <c r="AW8" s="1">
        <v>0</v>
      </c>
      <c r="AX8" t="s">
        <v>73</v>
      </c>
      <c r="AY8" s="1" t="s">
        <v>158</v>
      </c>
      <c r="AZ8" s="1" t="s">
        <v>158</v>
      </c>
      <c r="BA8" s="1" t="s">
        <v>158</v>
      </c>
      <c r="BC8"/>
      <c r="BE8"/>
      <c r="BI8"/>
      <c r="BM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FA8"/>
      <c r="FB8"/>
      <c r="FC8"/>
      <c r="FD8"/>
      <c r="FE8"/>
      <c r="FF8"/>
      <c r="FG8"/>
      <c r="FH8"/>
    </row>
    <row r="9" spans="1:164" ht="96" x14ac:dyDescent="0.2">
      <c r="A9" t="s">
        <v>185</v>
      </c>
      <c r="B9" t="s">
        <v>430</v>
      </c>
      <c r="C9" t="s">
        <v>431</v>
      </c>
      <c r="D9" s="1" t="s">
        <v>73</v>
      </c>
      <c r="E9" t="s">
        <v>73</v>
      </c>
      <c r="F9" t="s">
        <v>72</v>
      </c>
      <c r="G9" s="1" t="s">
        <v>73</v>
      </c>
      <c r="H9" s="1"/>
      <c r="I9" s="1"/>
      <c r="N9" s="1"/>
      <c r="O9" s="1"/>
      <c r="P9" s="1"/>
      <c r="Q9">
        <v>0</v>
      </c>
      <c r="R9">
        <v>0</v>
      </c>
      <c r="S9">
        <v>0</v>
      </c>
      <c r="T9">
        <v>0</v>
      </c>
      <c r="U9" t="s">
        <v>73</v>
      </c>
      <c r="V9">
        <v>0</v>
      </c>
      <c r="W9" s="1">
        <v>0</v>
      </c>
      <c r="X9">
        <v>0</v>
      </c>
      <c r="Y9" s="1">
        <v>0</v>
      </c>
      <c r="Z9">
        <v>0</v>
      </c>
      <c r="AA9" s="1">
        <v>0</v>
      </c>
      <c r="AB9" s="1">
        <v>0</v>
      </c>
      <c r="AC9" t="s">
        <v>73</v>
      </c>
      <c r="AD9" s="1">
        <v>0</v>
      </c>
      <c r="AE9" s="1">
        <v>0</v>
      </c>
      <c r="AF9" s="1">
        <v>0</v>
      </c>
      <c r="AG9" s="1">
        <v>0</v>
      </c>
      <c r="AH9">
        <v>0</v>
      </c>
      <c r="AI9" s="1">
        <v>3</v>
      </c>
      <c r="AJ9" s="1">
        <v>1</v>
      </c>
      <c r="AK9" s="1" t="s">
        <v>73</v>
      </c>
      <c r="AL9" s="1" t="s">
        <v>73</v>
      </c>
      <c r="AM9" s="63" t="s">
        <v>455</v>
      </c>
      <c r="AN9" s="1">
        <v>2165</v>
      </c>
      <c r="AO9" s="84">
        <v>46021.509363425925</v>
      </c>
      <c r="AP9" s="56">
        <v>46023.429201388892</v>
      </c>
      <c r="AQ9" s="1" t="s">
        <v>73</v>
      </c>
      <c r="AR9" s="1" t="s">
        <v>73</v>
      </c>
      <c r="AS9" s="1" t="s">
        <v>73</v>
      </c>
      <c r="AT9" s="1" t="s">
        <v>73</v>
      </c>
      <c r="AU9" s="1" t="s">
        <v>73</v>
      </c>
      <c r="AV9" s="1" t="s">
        <v>73</v>
      </c>
      <c r="AW9" s="1">
        <v>0</v>
      </c>
      <c r="AX9" t="s">
        <v>73</v>
      </c>
      <c r="AY9" s="1" t="s">
        <v>158</v>
      </c>
      <c r="AZ9" s="1" t="s">
        <v>158</v>
      </c>
      <c r="BA9" s="1" t="s">
        <v>158</v>
      </c>
      <c r="BB9" s="1"/>
      <c r="BD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4"/>
      <c r="CH9" s="4"/>
      <c r="CI9" s="1"/>
      <c r="CJ9" s="1"/>
      <c r="CK9" s="1"/>
      <c r="CL9" s="1"/>
      <c r="CM9" s="42"/>
      <c r="CN9" s="1"/>
      <c r="CO9" s="1"/>
      <c r="CT9"/>
      <c r="CU9"/>
      <c r="CV9"/>
      <c r="CW9"/>
      <c r="CX9"/>
      <c r="CY9"/>
      <c r="CZ9"/>
      <c r="DA9"/>
      <c r="DB9"/>
      <c r="DC9"/>
      <c r="DD9"/>
      <c r="DE9"/>
      <c r="DF9"/>
      <c r="DO9"/>
      <c r="DP9"/>
      <c r="DQ9"/>
      <c r="DR9"/>
      <c r="DS9"/>
      <c r="DT9"/>
      <c r="DU9"/>
      <c r="DV9"/>
      <c r="DW9"/>
      <c r="DX9"/>
      <c r="DY9"/>
      <c r="DZ9"/>
      <c r="EA9"/>
      <c r="EB9"/>
      <c r="EC9"/>
      <c r="ED9"/>
      <c r="EE9"/>
      <c r="EF9"/>
      <c r="EG9"/>
      <c r="EH9"/>
      <c r="EI9"/>
      <c r="FA9"/>
      <c r="FB9"/>
      <c r="FC9"/>
      <c r="FD9"/>
      <c r="FE9"/>
      <c r="FF9"/>
      <c r="FG9"/>
      <c r="FH9"/>
    </row>
    <row r="10" spans="1:164" ht="16" x14ac:dyDescent="0.2">
      <c r="A10" t="s">
        <v>185</v>
      </c>
      <c r="B10" t="s">
        <v>424</v>
      </c>
      <c r="C10" t="s">
        <v>425</v>
      </c>
      <c r="D10" s="1" t="s">
        <v>73</v>
      </c>
      <c r="E10" t="s">
        <v>72</v>
      </c>
      <c r="F10" t="s">
        <v>72</v>
      </c>
      <c r="G10" s="1" t="s">
        <v>73</v>
      </c>
      <c r="H10" s="1"/>
      <c r="I10" s="1">
        <v>12</v>
      </c>
      <c r="J10">
        <v>4</v>
      </c>
      <c r="N10" s="1"/>
      <c r="O10" s="1"/>
      <c r="P10" s="1"/>
      <c r="Q10">
        <v>0</v>
      </c>
      <c r="R10">
        <v>0</v>
      </c>
      <c r="S10">
        <v>0</v>
      </c>
      <c r="T10">
        <v>0</v>
      </c>
      <c r="U10" t="s">
        <v>73</v>
      </c>
      <c r="V10">
        <v>0</v>
      </c>
      <c r="W10" s="1">
        <v>0</v>
      </c>
      <c r="X10">
        <v>4</v>
      </c>
      <c r="Y10" s="1">
        <v>4</v>
      </c>
      <c r="Z10">
        <v>0</v>
      </c>
      <c r="AA10" s="1">
        <v>0</v>
      </c>
      <c r="AB10" s="1">
        <v>0</v>
      </c>
      <c r="AC10" t="s">
        <v>73</v>
      </c>
      <c r="AD10" s="1">
        <v>6</v>
      </c>
      <c r="AE10" s="1">
        <v>6</v>
      </c>
      <c r="AF10" s="1">
        <v>0</v>
      </c>
      <c r="AG10" s="1">
        <v>6</v>
      </c>
      <c r="AH10">
        <v>2</v>
      </c>
      <c r="AI10" s="1">
        <v>65</v>
      </c>
      <c r="AJ10" s="1">
        <v>14</v>
      </c>
      <c r="AK10" s="1" t="s">
        <v>72</v>
      </c>
      <c r="AL10" s="1" t="s">
        <v>73</v>
      </c>
      <c r="AM10" s="63" t="s">
        <v>73</v>
      </c>
      <c r="AN10" s="1">
        <v>2158</v>
      </c>
      <c r="AO10" s="84">
        <v>46019.969571759262</v>
      </c>
      <c r="AP10" s="56">
        <v>46019.927905092591</v>
      </c>
      <c r="AQ10" s="1" t="s">
        <v>73</v>
      </c>
      <c r="AR10" s="1" t="s">
        <v>73</v>
      </c>
      <c r="AS10" s="1" t="s">
        <v>73</v>
      </c>
      <c r="AT10" s="1" t="s">
        <v>73</v>
      </c>
      <c r="AU10" s="1" t="s">
        <v>73</v>
      </c>
      <c r="AV10" s="1" t="s">
        <v>73</v>
      </c>
      <c r="AW10" s="1">
        <v>0</v>
      </c>
      <c r="AX10" t="s">
        <v>73</v>
      </c>
      <c r="AY10" s="1" t="s">
        <v>158</v>
      </c>
      <c r="AZ10" s="1" t="s">
        <v>158</v>
      </c>
      <c r="BA10" s="1" t="s">
        <v>158</v>
      </c>
      <c r="BB10" s="1"/>
      <c r="BD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4"/>
      <c r="CH10" s="4"/>
      <c r="CI10" s="1"/>
      <c r="CJ10" s="1"/>
      <c r="CK10" s="1"/>
      <c r="CL10" s="1"/>
      <c r="CM10" s="42"/>
      <c r="CN10" s="1"/>
      <c r="CO10" s="1"/>
      <c r="CT10"/>
      <c r="CU10"/>
      <c r="CV10"/>
      <c r="CW10"/>
      <c r="CX10"/>
      <c r="CY10"/>
      <c r="CZ10"/>
      <c r="DA10"/>
      <c r="DB10"/>
      <c r="DC10"/>
      <c r="DD10"/>
      <c r="DE10"/>
      <c r="DF10"/>
      <c r="DO10"/>
      <c r="DP10"/>
      <c r="DQ10"/>
      <c r="DR10"/>
      <c r="DS10"/>
      <c r="DT10"/>
      <c r="DU10"/>
      <c r="DV10"/>
      <c r="DW10"/>
      <c r="DX10"/>
      <c r="DY10"/>
      <c r="DZ10"/>
      <c r="EA10"/>
      <c r="EB10"/>
      <c r="EC10"/>
      <c r="ED10"/>
      <c r="EE10"/>
      <c r="EF10"/>
      <c r="EG10"/>
      <c r="EH10"/>
      <c r="EI10"/>
      <c r="FA10"/>
      <c r="FB10"/>
      <c r="FC10"/>
      <c r="FD10"/>
      <c r="FE10"/>
      <c r="FF10"/>
      <c r="FG10"/>
      <c r="FH10"/>
    </row>
    <row r="11" spans="1:164" ht="32" x14ac:dyDescent="0.2">
      <c r="A11" t="s">
        <v>185</v>
      </c>
      <c r="B11" t="s">
        <v>413</v>
      </c>
      <c r="C11" t="s">
        <v>414</v>
      </c>
      <c r="D11" s="1" t="s">
        <v>73</v>
      </c>
      <c r="E11" t="s">
        <v>72</v>
      </c>
      <c r="F11" t="s">
        <v>73</v>
      </c>
      <c r="G11" s="1" t="s">
        <v>73</v>
      </c>
      <c r="H11" s="1"/>
      <c r="I11" s="1">
        <v>8</v>
      </c>
      <c r="J11">
        <v>6</v>
      </c>
      <c r="L11">
        <v>8</v>
      </c>
      <c r="N11" s="1"/>
      <c r="O11" s="1"/>
      <c r="P11" s="1"/>
      <c r="Q11">
        <v>0</v>
      </c>
      <c r="R11">
        <v>0</v>
      </c>
      <c r="S11">
        <v>0</v>
      </c>
      <c r="T11">
        <v>0</v>
      </c>
      <c r="U11" t="s">
        <v>73</v>
      </c>
      <c r="V11">
        <v>0</v>
      </c>
      <c r="W11" s="1">
        <v>0</v>
      </c>
      <c r="X11">
        <v>2</v>
      </c>
      <c r="Y11" s="1">
        <v>2</v>
      </c>
      <c r="Z11">
        <v>0</v>
      </c>
      <c r="AA11" s="1">
        <v>0</v>
      </c>
      <c r="AB11" s="1">
        <v>0</v>
      </c>
      <c r="AC11" t="s">
        <v>73</v>
      </c>
      <c r="AD11" s="1">
        <v>6</v>
      </c>
      <c r="AE11" s="1">
        <v>6</v>
      </c>
      <c r="AF11" s="1">
        <v>0</v>
      </c>
      <c r="AG11" s="1">
        <v>6</v>
      </c>
      <c r="AH11">
        <v>2</v>
      </c>
      <c r="AI11" s="1">
        <v>120</v>
      </c>
      <c r="AJ11" s="1">
        <v>14</v>
      </c>
      <c r="AK11" s="1" t="s">
        <v>72</v>
      </c>
      <c r="AL11" s="1" t="s">
        <v>72</v>
      </c>
      <c r="AM11" s="63" t="s">
        <v>415</v>
      </c>
      <c r="AN11" s="1">
        <v>2152</v>
      </c>
      <c r="AO11" s="84">
        <v>46019.660578703704</v>
      </c>
      <c r="AP11" s="56">
        <v>46022.350983796299</v>
      </c>
      <c r="AQ11" s="1" t="s">
        <v>73</v>
      </c>
      <c r="AR11" s="1" t="s">
        <v>73</v>
      </c>
      <c r="AS11" s="1" t="s">
        <v>73</v>
      </c>
      <c r="AT11" s="1" t="s">
        <v>73</v>
      </c>
      <c r="AU11" s="1" t="s">
        <v>73</v>
      </c>
      <c r="AV11" s="1" t="s">
        <v>73</v>
      </c>
      <c r="AW11" s="1">
        <v>0</v>
      </c>
      <c r="AX11" t="s">
        <v>73</v>
      </c>
      <c r="AY11" s="1" t="s">
        <v>158</v>
      </c>
      <c r="AZ11" s="1" t="s">
        <v>158</v>
      </c>
      <c r="BA11" s="1" t="s">
        <v>158</v>
      </c>
      <c r="BB11" s="1"/>
      <c r="BD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4"/>
      <c r="CH11" s="4"/>
      <c r="CI11" s="1"/>
      <c r="CJ11" s="1"/>
      <c r="CK11" s="1"/>
      <c r="CL11" s="1"/>
      <c r="CM11" s="42"/>
      <c r="CN11" s="1"/>
      <c r="CO11" s="1"/>
      <c r="CT11"/>
      <c r="CU11"/>
      <c r="CV11"/>
      <c r="CW11"/>
      <c r="CX11"/>
      <c r="CY11"/>
      <c r="CZ11"/>
      <c r="DA11"/>
      <c r="DB11"/>
      <c r="DC11"/>
      <c r="DD11"/>
      <c r="DE11"/>
      <c r="DF11"/>
      <c r="DO11"/>
      <c r="DP11"/>
      <c r="DQ11"/>
      <c r="DR11"/>
      <c r="DS11"/>
      <c r="DT11"/>
      <c r="DU11"/>
      <c r="DV11"/>
      <c r="DW11"/>
      <c r="DX11"/>
      <c r="DY11"/>
      <c r="DZ11"/>
      <c r="EA11"/>
      <c r="EB11"/>
      <c r="EC11"/>
      <c r="ED11"/>
      <c r="EE11"/>
      <c r="EF11"/>
      <c r="EG11"/>
      <c r="EH11"/>
      <c r="EI11"/>
      <c r="FA11"/>
      <c r="FB11"/>
      <c r="FC11"/>
      <c r="FD11"/>
      <c r="FE11"/>
      <c r="FF11"/>
      <c r="FG11"/>
      <c r="FH11"/>
    </row>
    <row r="12" spans="1:164" ht="16" x14ac:dyDescent="0.2">
      <c r="A12" t="s">
        <v>185</v>
      </c>
      <c r="B12" t="s">
        <v>399</v>
      </c>
      <c r="C12" t="s">
        <v>400</v>
      </c>
      <c r="D12" s="1" t="s">
        <v>73</v>
      </c>
      <c r="E12" t="s">
        <v>72</v>
      </c>
      <c r="F12" t="s">
        <v>72</v>
      </c>
      <c r="G12" s="1" t="s">
        <v>73</v>
      </c>
      <c r="H12" s="1"/>
      <c r="I12" s="1">
        <v>8</v>
      </c>
      <c r="N12" s="1">
        <v>4</v>
      </c>
      <c r="O12" s="1"/>
      <c r="P12" s="1"/>
      <c r="Q12">
        <v>2</v>
      </c>
      <c r="R12">
        <v>2</v>
      </c>
      <c r="S12">
        <v>0</v>
      </c>
      <c r="T12">
        <v>0</v>
      </c>
      <c r="U12" t="s">
        <v>72</v>
      </c>
      <c r="V12">
        <v>0</v>
      </c>
      <c r="W12" s="1">
        <v>0</v>
      </c>
      <c r="X12">
        <v>3</v>
      </c>
      <c r="Y12" s="1">
        <v>3</v>
      </c>
      <c r="Z12">
        <v>0</v>
      </c>
      <c r="AA12" s="1">
        <v>0</v>
      </c>
      <c r="AB12" s="1">
        <v>0</v>
      </c>
      <c r="AC12" t="s">
        <v>73</v>
      </c>
      <c r="AD12" s="1">
        <v>6</v>
      </c>
      <c r="AE12" s="1">
        <v>6</v>
      </c>
      <c r="AF12" s="1">
        <v>0</v>
      </c>
      <c r="AG12" s="1">
        <v>6</v>
      </c>
      <c r="AH12">
        <v>1</v>
      </c>
      <c r="AI12" s="1">
        <v>65</v>
      </c>
      <c r="AJ12" s="1">
        <v>5</v>
      </c>
      <c r="AK12" s="1" t="s">
        <v>73</v>
      </c>
      <c r="AL12" s="1" t="s">
        <v>73</v>
      </c>
      <c r="AM12" s="63" t="s">
        <v>73</v>
      </c>
      <c r="AN12" s="1">
        <v>2144</v>
      </c>
      <c r="AO12" s="84">
        <v>46018.570393518516</v>
      </c>
      <c r="AP12" s="56">
        <v>46018.528726851851</v>
      </c>
      <c r="AQ12" s="1" t="s">
        <v>400</v>
      </c>
      <c r="AR12" s="1" t="s">
        <v>78</v>
      </c>
      <c r="AS12" s="1" t="s">
        <v>179</v>
      </c>
      <c r="AT12" s="1" t="s">
        <v>219</v>
      </c>
      <c r="AU12" s="1" t="s">
        <v>402</v>
      </c>
      <c r="AV12" s="1" t="s">
        <v>402</v>
      </c>
      <c r="AW12" s="1">
        <v>35</v>
      </c>
      <c r="AX12" t="s">
        <v>73</v>
      </c>
      <c r="AY12" s="1" t="s">
        <v>158</v>
      </c>
      <c r="AZ12" s="1" t="s">
        <v>158</v>
      </c>
      <c r="BA12" s="1" t="s">
        <v>158</v>
      </c>
      <c r="BB12" s="1"/>
      <c r="BD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4"/>
      <c r="CH12" s="4"/>
      <c r="CI12" s="1"/>
      <c r="CJ12" s="1"/>
      <c r="CK12" s="1"/>
      <c r="CL12" s="1"/>
      <c r="CM12" s="42"/>
      <c r="CN12" s="1"/>
      <c r="CO12" s="1"/>
      <c r="CT12"/>
      <c r="CU12"/>
      <c r="CV12"/>
      <c r="CW12"/>
      <c r="CX12"/>
      <c r="CY12"/>
      <c r="CZ12"/>
      <c r="DA12"/>
      <c r="DB12"/>
      <c r="DC12"/>
      <c r="DD12"/>
      <c r="DE12"/>
      <c r="DF12"/>
      <c r="DO12"/>
      <c r="DP12"/>
      <c r="DQ12"/>
      <c r="DR12"/>
      <c r="DS12"/>
      <c r="DT12"/>
      <c r="DU12"/>
      <c r="DV12"/>
      <c r="DW12"/>
      <c r="DX12"/>
      <c r="DY12"/>
      <c r="DZ12"/>
      <c r="EA12"/>
      <c r="EB12"/>
      <c r="EC12"/>
      <c r="ED12"/>
      <c r="EE12"/>
      <c r="EF12"/>
      <c r="EG12"/>
      <c r="EH12"/>
      <c r="EI12"/>
      <c r="FA12"/>
      <c r="FB12"/>
      <c r="FC12"/>
      <c r="FD12"/>
      <c r="FE12"/>
      <c r="FF12"/>
      <c r="FG12"/>
      <c r="FH12"/>
    </row>
    <row r="13" spans="1:164" ht="16" x14ac:dyDescent="0.2">
      <c r="A13" t="s">
        <v>185</v>
      </c>
      <c r="B13" t="s">
        <v>389</v>
      </c>
      <c r="C13" t="s">
        <v>390</v>
      </c>
      <c r="D13" s="1" t="s">
        <v>73</v>
      </c>
      <c r="E13" t="s">
        <v>72</v>
      </c>
      <c r="F13" t="s">
        <v>72</v>
      </c>
      <c r="G13" s="1" t="s">
        <v>72</v>
      </c>
      <c r="H13" s="1" t="s">
        <v>72</v>
      </c>
      <c r="I13" s="1">
        <v>13</v>
      </c>
      <c r="J13">
        <v>8</v>
      </c>
      <c r="L13">
        <v>6</v>
      </c>
      <c r="N13" s="1">
        <v>9</v>
      </c>
      <c r="O13" s="1"/>
      <c r="P13" s="1"/>
      <c r="Q13">
        <v>0</v>
      </c>
      <c r="R13">
        <v>0</v>
      </c>
      <c r="S13">
        <v>0</v>
      </c>
      <c r="T13">
        <v>0</v>
      </c>
      <c r="U13" t="s">
        <v>73</v>
      </c>
      <c r="V13">
        <v>5</v>
      </c>
      <c r="W13" s="1">
        <v>21</v>
      </c>
      <c r="X13">
        <v>14</v>
      </c>
      <c r="Y13" s="1">
        <v>7</v>
      </c>
      <c r="Z13">
        <v>6</v>
      </c>
      <c r="AA13" s="1">
        <v>0</v>
      </c>
      <c r="AB13" s="1">
        <v>1</v>
      </c>
      <c r="AC13" t="s">
        <v>73</v>
      </c>
      <c r="AD13" s="1">
        <v>5</v>
      </c>
      <c r="AE13" s="1">
        <v>5</v>
      </c>
      <c r="AF13" s="1">
        <v>5</v>
      </c>
      <c r="AG13" s="1">
        <v>5</v>
      </c>
      <c r="AH13">
        <v>0</v>
      </c>
      <c r="AI13" s="1">
        <v>120</v>
      </c>
      <c r="AJ13" s="1">
        <v>34</v>
      </c>
      <c r="AK13" s="1" t="s">
        <v>73</v>
      </c>
      <c r="AL13" s="1" t="s">
        <v>73</v>
      </c>
      <c r="AM13" s="63" t="s">
        <v>73</v>
      </c>
      <c r="AN13" s="1">
        <v>2141</v>
      </c>
      <c r="AO13" s="84">
        <v>46017.704988425925</v>
      </c>
      <c r="AP13" s="56">
        <v>46044.746400462966</v>
      </c>
      <c r="AQ13" s="1" t="s">
        <v>73</v>
      </c>
      <c r="AR13" s="1" t="s">
        <v>73</v>
      </c>
      <c r="AS13" s="1" t="s">
        <v>73</v>
      </c>
      <c r="AT13" s="1" t="s">
        <v>73</v>
      </c>
      <c r="AU13" s="1" t="s">
        <v>73</v>
      </c>
      <c r="AV13" s="1" t="s">
        <v>73</v>
      </c>
      <c r="AW13" s="1">
        <v>0</v>
      </c>
      <c r="AX13" t="s">
        <v>75</v>
      </c>
      <c r="AY13" s="1" t="s">
        <v>392</v>
      </c>
      <c r="AZ13" s="1" t="s">
        <v>214</v>
      </c>
      <c r="BA13" s="1" t="s">
        <v>393</v>
      </c>
      <c r="BB13" s="1"/>
      <c r="BD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4"/>
      <c r="CH13" s="4"/>
      <c r="CI13" s="1"/>
      <c r="CJ13" s="1"/>
      <c r="CK13" s="1"/>
      <c r="CL13" s="1"/>
      <c r="CM13" s="42"/>
      <c r="CN13" s="1"/>
      <c r="CO13" s="1"/>
      <c r="CT13"/>
      <c r="CU13"/>
      <c r="CV13"/>
      <c r="CW13"/>
      <c r="CX13"/>
      <c r="CY13"/>
      <c r="CZ13"/>
      <c r="DA13"/>
      <c r="DB13"/>
      <c r="DC13"/>
      <c r="DD13"/>
      <c r="DE13"/>
      <c r="DF13"/>
      <c r="DO13"/>
      <c r="DP13"/>
      <c r="DQ13"/>
      <c r="DR13"/>
      <c r="DS13"/>
      <c r="DT13"/>
      <c r="DU13"/>
      <c r="DV13"/>
      <c r="DW13"/>
      <c r="DX13"/>
      <c r="DY13"/>
      <c r="DZ13"/>
      <c r="EA13"/>
      <c r="EB13"/>
      <c r="EC13"/>
      <c r="ED13"/>
      <c r="EE13"/>
      <c r="EF13"/>
      <c r="EG13"/>
      <c r="EH13"/>
      <c r="EI13"/>
      <c r="FA13"/>
      <c r="FB13"/>
      <c r="FC13"/>
      <c r="FD13"/>
      <c r="FE13"/>
      <c r="FF13"/>
      <c r="FG13"/>
      <c r="FH13"/>
    </row>
    <row r="14" spans="1:164" ht="16" x14ac:dyDescent="0.2">
      <c r="A14" t="s">
        <v>185</v>
      </c>
      <c r="B14" t="s">
        <v>386</v>
      </c>
      <c r="C14" t="s">
        <v>387</v>
      </c>
      <c r="D14" s="1" t="s">
        <v>73</v>
      </c>
      <c r="E14" t="s">
        <v>72</v>
      </c>
      <c r="F14" t="s">
        <v>72</v>
      </c>
      <c r="G14" s="1" t="s">
        <v>73</v>
      </c>
      <c r="H14" s="1"/>
      <c r="I14" s="1">
        <v>12</v>
      </c>
      <c r="N14" s="1">
        <v>4</v>
      </c>
      <c r="O14" s="1"/>
      <c r="P14" s="1"/>
      <c r="Q14">
        <v>2</v>
      </c>
      <c r="R14">
        <v>2</v>
      </c>
      <c r="S14">
        <v>0</v>
      </c>
      <c r="T14">
        <v>0</v>
      </c>
      <c r="U14" t="s">
        <v>73</v>
      </c>
      <c r="V14">
        <v>0</v>
      </c>
      <c r="W14" s="1">
        <v>0</v>
      </c>
      <c r="X14">
        <v>3</v>
      </c>
      <c r="Y14" s="1">
        <v>3</v>
      </c>
      <c r="Z14">
        <v>0</v>
      </c>
      <c r="AA14" s="1">
        <v>0</v>
      </c>
      <c r="AB14" s="1">
        <v>0</v>
      </c>
      <c r="AC14" t="s">
        <v>73</v>
      </c>
      <c r="AD14" s="1">
        <v>6</v>
      </c>
      <c r="AE14" s="1">
        <v>4</v>
      </c>
      <c r="AF14" s="1">
        <v>0</v>
      </c>
      <c r="AG14" s="1">
        <v>0</v>
      </c>
      <c r="AH14">
        <v>2</v>
      </c>
      <c r="AI14" s="1">
        <v>50</v>
      </c>
      <c r="AJ14" s="1">
        <v>8</v>
      </c>
      <c r="AK14" s="1" t="s">
        <v>72</v>
      </c>
      <c r="AL14" s="1" t="s">
        <v>73</v>
      </c>
      <c r="AM14" s="63" t="s">
        <v>73</v>
      </c>
      <c r="AN14" s="1">
        <v>2140</v>
      </c>
      <c r="AO14" s="84">
        <v>46017.580243055556</v>
      </c>
      <c r="AP14" s="56">
        <v>46017.538576388892</v>
      </c>
      <c r="AQ14" s="1" t="s">
        <v>73</v>
      </c>
      <c r="AR14" s="1" t="s">
        <v>73</v>
      </c>
      <c r="AS14" s="1" t="s">
        <v>73</v>
      </c>
      <c r="AT14" s="1" t="s">
        <v>73</v>
      </c>
      <c r="AU14" s="1" t="s">
        <v>73</v>
      </c>
      <c r="AV14" s="1" t="s">
        <v>73</v>
      </c>
      <c r="AW14" s="1">
        <v>0</v>
      </c>
      <c r="AX14" t="s">
        <v>73</v>
      </c>
      <c r="AY14" s="1" t="s">
        <v>158</v>
      </c>
      <c r="AZ14" s="1" t="s">
        <v>158</v>
      </c>
      <c r="BA14" s="1" t="s">
        <v>158</v>
      </c>
      <c r="BC14"/>
      <c r="BE14"/>
      <c r="BI14"/>
      <c r="BM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FA14"/>
      <c r="FB14"/>
      <c r="FC14"/>
      <c r="FD14"/>
      <c r="FE14"/>
      <c r="FF14"/>
      <c r="FG14"/>
      <c r="FH14"/>
    </row>
    <row r="15" spans="1:164" ht="16" x14ac:dyDescent="0.2">
      <c r="A15" t="s">
        <v>185</v>
      </c>
      <c r="B15" t="s">
        <v>206</v>
      </c>
      <c r="C15" t="s">
        <v>207</v>
      </c>
      <c r="D15" s="1" t="s">
        <v>73</v>
      </c>
      <c r="E15" t="s">
        <v>72</v>
      </c>
      <c r="F15" t="s">
        <v>72</v>
      </c>
      <c r="G15" s="1" t="s">
        <v>73</v>
      </c>
      <c r="H15" s="1" t="s">
        <v>72</v>
      </c>
      <c r="I15" s="1">
        <v>7</v>
      </c>
      <c r="J15">
        <v>3</v>
      </c>
      <c r="N15" s="1"/>
      <c r="O15" s="1"/>
      <c r="P15" s="1"/>
      <c r="Q15">
        <v>1</v>
      </c>
      <c r="R15">
        <v>1</v>
      </c>
      <c r="S15">
        <v>0</v>
      </c>
      <c r="T15">
        <v>0</v>
      </c>
      <c r="U15" t="s">
        <v>73</v>
      </c>
      <c r="V15">
        <v>7</v>
      </c>
      <c r="W15" s="1">
        <v>10</v>
      </c>
      <c r="X15">
        <v>0</v>
      </c>
      <c r="Y15" s="1">
        <v>0</v>
      </c>
      <c r="Z15">
        <v>0</v>
      </c>
      <c r="AA15" s="1">
        <v>0</v>
      </c>
      <c r="AB15" s="1">
        <v>0</v>
      </c>
      <c r="AC15" t="s">
        <v>73</v>
      </c>
      <c r="AD15" s="1">
        <v>6</v>
      </c>
      <c r="AE15" s="1">
        <v>6</v>
      </c>
      <c r="AF15" s="1">
        <v>0</v>
      </c>
      <c r="AG15" s="1">
        <v>6</v>
      </c>
      <c r="AH15">
        <v>3</v>
      </c>
      <c r="AI15" s="1">
        <v>45</v>
      </c>
      <c r="AJ15" s="1">
        <v>15</v>
      </c>
      <c r="AK15" s="1" t="s">
        <v>73</v>
      </c>
      <c r="AL15" s="1" t="s">
        <v>73</v>
      </c>
      <c r="AM15" s="63" t="s">
        <v>73</v>
      </c>
      <c r="AN15" s="1">
        <v>2128</v>
      </c>
      <c r="AO15" s="84">
        <v>46014.910451388889</v>
      </c>
      <c r="AP15" s="56">
        <v>46014.868784722225</v>
      </c>
      <c r="AQ15" s="1" t="s">
        <v>73</v>
      </c>
      <c r="AR15" s="1" t="s">
        <v>73</v>
      </c>
      <c r="AS15" s="1" t="s">
        <v>73</v>
      </c>
      <c r="AT15" s="1" t="s">
        <v>73</v>
      </c>
      <c r="AU15" s="1" t="s">
        <v>73</v>
      </c>
      <c r="AV15" s="1" t="s">
        <v>73</v>
      </c>
      <c r="AW15" s="1">
        <v>0</v>
      </c>
      <c r="AX15" t="s">
        <v>75</v>
      </c>
      <c r="AY15" s="1" t="s">
        <v>373</v>
      </c>
      <c r="AZ15" s="1" t="s">
        <v>374</v>
      </c>
      <c r="BA15" s="1" t="s">
        <v>375</v>
      </c>
      <c r="BB15" s="1"/>
      <c r="BD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4"/>
      <c r="CH15" s="4"/>
      <c r="CI15" s="1"/>
      <c r="CJ15" s="1"/>
      <c r="CK15" s="1"/>
      <c r="CL15" s="1"/>
      <c r="CM15" s="42"/>
      <c r="CN15" s="1"/>
      <c r="CO15" s="1"/>
      <c r="CT15"/>
      <c r="CU15"/>
      <c r="CV15"/>
      <c r="CW15"/>
      <c r="CX15"/>
      <c r="CY15"/>
      <c r="CZ15"/>
      <c r="DA15"/>
      <c r="DB15"/>
      <c r="DC15"/>
      <c r="DD15"/>
      <c r="DE15"/>
      <c r="DF15"/>
      <c r="DO15"/>
      <c r="DP15"/>
      <c r="DQ15"/>
      <c r="DR15"/>
      <c r="DS15"/>
      <c r="DT15"/>
      <c r="DU15"/>
      <c r="DV15"/>
      <c r="DW15"/>
      <c r="DX15"/>
      <c r="DY15"/>
      <c r="DZ15"/>
      <c r="EA15"/>
      <c r="EB15"/>
      <c r="EC15"/>
      <c r="ED15"/>
      <c r="EE15"/>
      <c r="EF15"/>
      <c r="EG15"/>
      <c r="EH15"/>
      <c r="EI15"/>
      <c r="FA15"/>
      <c r="FB15"/>
      <c r="FC15"/>
      <c r="FD15"/>
      <c r="FE15"/>
      <c r="FF15"/>
      <c r="FG15"/>
      <c r="FH15"/>
    </row>
    <row r="16" spans="1:164" ht="16" x14ac:dyDescent="0.2">
      <c r="A16" t="s">
        <v>185</v>
      </c>
      <c r="B16" t="s">
        <v>379</v>
      </c>
      <c r="C16" t="s">
        <v>380</v>
      </c>
      <c r="D16" s="1" t="s">
        <v>73</v>
      </c>
      <c r="E16" t="s">
        <v>72</v>
      </c>
      <c r="F16" t="s">
        <v>72</v>
      </c>
      <c r="G16" s="1" t="s">
        <v>73</v>
      </c>
      <c r="H16" s="1"/>
      <c r="I16" s="1">
        <v>5</v>
      </c>
      <c r="N16" s="1"/>
      <c r="O16" s="1"/>
      <c r="P16" s="1"/>
      <c r="Q16">
        <v>0</v>
      </c>
      <c r="R16">
        <v>0</v>
      </c>
      <c r="S16">
        <v>0</v>
      </c>
      <c r="T16">
        <v>0</v>
      </c>
      <c r="U16" t="s">
        <v>72</v>
      </c>
      <c r="V16">
        <v>0</v>
      </c>
      <c r="W16" s="1">
        <v>0</v>
      </c>
      <c r="X16">
        <v>0</v>
      </c>
      <c r="Y16" s="1">
        <v>0</v>
      </c>
      <c r="Z16">
        <v>0</v>
      </c>
      <c r="AA16" s="1">
        <v>0</v>
      </c>
      <c r="AB16" s="1">
        <v>0</v>
      </c>
      <c r="AC16" t="s">
        <v>73</v>
      </c>
      <c r="AD16" s="1">
        <v>6</v>
      </c>
      <c r="AE16" s="1">
        <v>6</v>
      </c>
      <c r="AF16" s="1">
        <v>0</v>
      </c>
      <c r="AG16" s="1">
        <v>6</v>
      </c>
      <c r="AH16">
        <v>1</v>
      </c>
      <c r="AI16" s="1">
        <v>50</v>
      </c>
      <c r="AJ16" s="1">
        <v>3</v>
      </c>
      <c r="AK16" s="1" t="s">
        <v>73</v>
      </c>
      <c r="AL16" s="1" t="s">
        <v>73</v>
      </c>
      <c r="AM16" s="63" t="s">
        <v>73</v>
      </c>
      <c r="AN16" s="1">
        <v>2125</v>
      </c>
      <c r="AO16" s="84">
        <v>46014.807118055556</v>
      </c>
      <c r="AP16" s="56">
        <v>46014.765451388892</v>
      </c>
      <c r="AQ16" s="1" t="s">
        <v>380</v>
      </c>
      <c r="AR16" s="1" t="s">
        <v>78</v>
      </c>
      <c r="AS16" s="1" t="s">
        <v>76</v>
      </c>
      <c r="AT16" s="1" t="s">
        <v>77</v>
      </c>
      <c r="AU16" s="1" t="s">
        <v>382</v>
      </c>
      <c r="AV16" s="1" t="s">
        <v>383</v>
      </c>
      <c r="AW16" s="1">
        <v>35</v>
      </c>
      <c r="AX16" t="s">
        <v>73</v>
      </c>
      <c r="AY16" s="1" t="s">
        <v>158</v>
      </c>
      <c r="AZ16" s="1" t="s">
        <v>158</v>
      </c>
      <c r="BA16" s="1" t="s">
        <v>158</v>
      </c>
      <c r="BB16" s="1"/>
      <c r="BD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4"/>
      <c r="CH16" s="4"/>
      <c r="CI16" s="1"/>
      <c r="CJ16" s="1"/>
      <c r="CK16" s="1"/>
      <c r="CL16" s="1"/>
      <c r="CM16" s="42"/>
      <c r="CN16" s="1"/>
      <c r="CO16" s="1"/>
      <c r="CT16"/>
      <c r="CU16"/>
      <c r="CV16"/>
      <c r="CW16"/>
      <c r="CX16"/>
      <c r="CY16"/>
      <c r="CZ16"/>
      <c r="DA16"/>
      <c r="DB16"/>
      <c r="DC16"/>
      <c r="DD16"/>
      <c r="DE16"/>
      <c r="DF16"/>
      <c r="DO16"/>
      <c r="DP16"/>
      <c r="DQ16"/>
      <c r="DR16"/>
      <c r="DS16"/>
      <c r="DT16"/>
      <c r="DU16"/>
      <c r="DV16"/>
      <c r="DW16"/>
      <c r="DX16"/>
      <c r="DY16"/>
      <c r="DZ16"/>
      <c r="EA16"/>
      <c r="EB16"/>
      <c r="EC16"/>
      <c r="ED16"/>
      <c r="EE16"/>
      <c r="EF16"/>
      <c r="EG16"/>
      <c r="EH16"/>
      <c r="EI16"/>
      <c r="FA16"/>
      <c r="FB16"/>
      <c r="FC16"/>
      <c r="FD16"/>
      <c r="FE16"/>
      <c r="FF16"/>
      <c r="FG16"/>
      <c r="FH16"/>
    </row>
    <row r="17" spans="1:164" ht="16" x14ac:dyDescent="0.2">
      <c r="A17" t="s">
        <v>185</v>
      </c>
      <c r="B17" t="s">
        <v>362</v>
      </c>
      <c r="C17" t="s">
        <v>363</v>
      </c>
      <c r="D17" s="1" t="s">
        <v>73</v>
      </c>
      <c r="E17" t="s">
        <v>73</v>
      </c>
      <c r="F17" t="s">
        <v>72</v>
      </c>
      <c r="G17" s="1" t="s">
        <v>73</v>
      </c>
      <c r="H17" s="1"/>
      <c r="I17" s="1"/>
      <c r="N17" s="1"/>
      <c r="O17" s="1"/>
      <c r="P17" s="1"/>
      <c r="Q17">
        <v>0</v>
      </c>
      <c r="R17">
        <v>0</v>
      </c>
      <c r="S17">
        <v>0</v>
      </c>
      <c r="T17">
        <v>0</v>
      </c>
      <c r="U17" t="s">
        <v>73</v>
      </c>
      <c r="V17">
        <v>0</v>
      </c>
      <c r="W17" s="1">
        <v>0</v>
      </c>
      <c r="X17">
        <v>0</v>
      </c>
      <c r="Y17" s="1">
        <v>0</v>
      </c>
      <c r="Z17">
        <v>0</v>
      </c>
      <c r="AA17" s="1">
        <v>0</v>
      </c>
      <c r="AB17" s="1">
        <v>0</v>
      </c>
      <c r="AC17" t="s">
        <v>73</v>
      </c>
      <c r="AD17" s="1">
        <v>0</v>
      </c>
      <c r="AE17" s="1">
        <v>0</v>
      </c>
      <c r="AF17" s="1">
        <v>0</v>
      </c>
      <c r="AG17" s="1">
        <v>0</v>
      </c>
      <c r="AH17">
        <v>0</v>
      </c>
      <c r="AI17" s="1">
        <v>20</v>
      </c>
      <c r="AJ17" s="1">
        <v>2</v>
      </c>
      <c r="AK17" s="1" t="s">
        <v>72</v>
      </c>
      <c r="AL17" s="1" t="s">
        <v>73</v>
      </c>
      <c r="AM17" s="63" t="s">
        <v>73</v>
      </c>
      <c r="AN17" s="1">
        <v>2119</v>
      </c>
      <c r="AO17" s="84">
        <v>46013.911365740743</v>
      </c>
      <c r="AP17" s="56">
        <v>46013.869699074072</v>
      </c>
      <c r="AQ17" s="1" t="s">
        <v>73</v>
      </c>
      <c r="AR17" s="1" t="s">
        <v>73</v>
      </c>
      <c r="AS17" s="1" t="s">
        <v>73</v>
      </c>
      <c r="AT17" s="1" t="s">
        <v>73</v>
      </c>
      <c r="AU17" s="1" t="s">
        <v>73</v>
      </c>
      <c r="AV17" s="1" t="s">
        <v>73</v>
      </c>
      <c r="AW17" s="1">
        <v>0</v>
      </c>
      <c r="AX17" t="s">
        <v>73</v>
      </c>
      <c r="AY17" s="1" t="s">
        <v>158</v>
      </c>
      <c r="AZ17" s="1" t="s">
        <v>158</v>
      </c>
      <c r="BA17" s="1" t="s">
        <v>158</v>
      </c>
      <c r="BB17" s="1"/>
      <c r="BD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4"/>
      <c r="CH17" s="4"/>
      <c r="CI17" s="1"/>
      <c r="CJ17" s="1"/>
      <c r="CK17" s="1"/>
      <c r="CL17" s="1"/>
      <c r="CM17" s="42"/>
      <c r="CN17" s="1"/>
      <c r="CO17" s="1"/>
      <c r="CT17"/>
      <c r="CU17"/>
      <c r="CV17"/>
      <c r="CW17"/>
      <c r="CX17"/>
      <c r="CY17"/>
      <c r="CZ17"/>
      <c r="DA17"/>
      <c r="DB17"/>
      <c r="DC17"/>
      <c r="DD17"/>
      <c r="DE17"/>
      <c r="DF17"/>
      <c r="DO17"/>
      <c r="DP17"/>
      <c r="DQ17"/>
      <c r="DR17"/>
      <c r="DS17"/>
      <c r="DT17"/>
      <c r="DU17"/>
      <c r="DV17"/>
      <c r="DW17"/>
      <c r="DX17"/>
      <c r="DY17"/>
      <c r="DZ17"/>
      <c r="EA17"/>
      <c r="EB17"/>
      <c r="EC17"/>
      <c r="ED17"/>
      <c r="EE17"/>
      <c r="EF17"/>
      <c r="EG17"/>
      <c r="EH17"/>
      <c r="EI17"/>
      <c r="FA17"/>
      <c r="FB17"/>
      <c r="FC17"/>
      <c r="FD17"/>
      <c r="FE17"/>
      <c r="FF17"/>
      <c r="FG17"/>
      <c r="FH17"/>
    </row>
    <row r="18" spans="1:164" ht="32" x14ac:dyDescent="0.2">
      <c r="A18" t="s">
        <v>185</v>
      </c>
      <c r="B18" t="s">
        <v>330</v>
      </c>
      <c r="C18" t="s">
        <v>331</v>
      </c>
      <c r="D18" s="1" t="s">
        <v>73</v>
      </c>
      <c r="E18" t="s">
        <v>72</v>
      </c>
      <c r="F18" t="s">
        <v>73</v>
      </c>
      <c r="G18" s="1" t="s">
        <v>72</v>
      </c>
      <c r="H18" s="1" t="s">
        <v>72</v>
      </c>
      <c r="I18" s="1">
        <v>4</v>
      </c>
      <c r="N18" s="1"/>
      <c r="O18" s="1"/>
      <c r="P18" s="1"/>
      <c r="Q18">
        <v>0</v>
      </c>
      <c r="R18">
        <v>0</v>
      </c>
      <c r="S18">
        <v>0</v>
      </c>
      <c r="T18">
        <v>0</v>
      </c>
      <c r="U18" t="s">
        <v>73</v>
      </c>
      <c r="V18">
        <v>6</v>
      </c>
      <c r="W18" s="1">
        <v>15</v>
      </c>
      <c r="X18">
        <v>2</v>
      </c>
      <c r="Y18" s="1">
        <v>1</v>
      </c>
      <c r="Z18">
        <v>0</v>
      </c>
      <c r="AA18" s="1">
        <v>0</v>
      </c>
      <c r="AB18" s="1">
        <v>1</v>
      </c>
      <c r="AC18" t="s">
        <v>73</v>
      </c>
      <c r="AD18" s="1">
        <v>3</v>
      </c>
      <c r="AE18" s="1">
        <v>0</v>
      </c>
      <c r="AF18" s="1">
        <v>0</v>
      </c>
      <c r="AG18" s="1">
        <v>0</v>
      </c>
      <c r="AH18">
        <v>0</v>
      </c>
      <c r="AI18" s="1">
        <v>50</v>
      </c>
      <c r="AJ18" s="1">
        <v>10</v>
      </c>
      <c r="AK18" s="1" t="s">
        <v>73</v>
      </c>
      <c r="AL18" s="1" t="s">
        <v>73</v>
      </c>
      <c r="AM18" s="63" t="s">
        <v>429</v>
      </c>
      <c r="AN18" s="1">
        <v>2117</v>
      </c>
      <c r="AO18" s="84">
        <v>46013.674212962964</v>
      </c>
      <c r="AP18" s="56">
        <v>46020.812604166669</v>
      </c>
      <c r="AQ18" s="1" t="s">
        <v>73</v>
      </c>
      <c r="AR18" s="1" t="s">
        <v>73</v>
      </c>
      <c r="AS18" s="1" t="s">
        <v>73</v>
      </c>
      <c r="AT18" s="1" t="s">
        <v>73</v>
      </c>
      <c r="AU18" s="1" t="s">
        <v>73</v>
      </c>
      <c r="AV18" s="1" t="s">
        <v>73</v>
      </c>
      <c r="AW18" s="1">
        <v>0</v>
      </c>
      <c r="AX18" t="s">
        <v>75</v>
      </c>
      <c r="AY18" s="1" t="s">
        <v>333</v>
      </c>
      <c r="AZ18" s="1" t="s">
        <v>334</v>
      </c>
      <c r="BA18" s="1" t="s">
        <v>335</v>
      </c>
      <c r="BB18" s="1"/>
      <c r="BD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4"/>
      <c r="CH18" s="4"/>
      <c r="CI18" s="1"/>
      <c r="CJ18" s="1"/>
      <c r="CK18" s="1"/>
      <c r="CL18" s="1"/>
      <c r="CM18" s="42"/>
      <c r="CN18" s="1"/>
      <c r="CO18" s="1"/>
      <c r="CT18"/>
      <c r="CU18"/>
      <c r="CV18"/>
      <c r="CW18"/>
      <c r="CX18"/>
      <c r="CY18"/>
      <c r="CZ18"/>
      <c r="DA18"/>
      <c r="DB18"/>
      <c r="DC18"/>
      <c r="DD18"/>
      <c r="DE18"/>
      <c r="DF18"/>
      <c r="DO18"/>
      <c r="DP18"/>
      <c r="DQ18"/>
      <c r="DR18"/>
      <c r="DS18"/>
      <c r="DT18"/>
      <c r="DU18"/>
      <c r="DV18"/>
      <c r="DW18"/>
      <c r="DX18"/>
      <c r="DY18"/>
      <c r="DZ18"/>
      <c r="EA18"/>
      <c r="EB18"/>
      <c r="EC18"/>
      <c r="ED18"/>
      <c r="EE18"/>
      <c r="EF18"/>
      <c r="EG18"/>
      <c r="EH18"/>
      <c r="EI18"/>
      <c r="FA18"/>
      <c r="FB18"/>
      <c r="FC18"/>
      <c r="FD18"/>
      <c r="FE18"/>
      <c r="FF18"/>
      <c r="FG18"/>
      <c r="FH18"/>
    </row>
    <row r="19" spans="1:164" ht="16" x14ac:dyDescent="0.2">
      <c r="A19" t="s">
        <v>185</v>
      </c>
      <c r="B19" t="s">
        <v>343</v>
      </c>
      <c r="C19" t="s">
        <v>344</v>
      </c>
      <c r="D19" s="1" t="s">
        <v>72</v>
      </c>
      <c r="E19" t="s">
        <v>73</v>
      </c>
      <c r="F19" t="s">
        <v>72</v>
      </c>
      <c r="G19" s="1" t="s">
        <v>73</v>
      </c>
      <c r="H19" s="1"/>
      <c r="I19" s="1">
        <v>11</v>
      </c>
      <c r="J19">
        <v>4</v>
      </c>
      <c r="L19">
        <v>9</v>
      </c>
      <c r="N19" s="1">
        <v>11</v>
      </c>
      <c r="O19" s="1">
        <v>4</v>
      </c>
      <c r="P19" s="1"/>
      <c r="Q19">
        <v>5</v>
      </c>
      <c r="R19">
        <v>0</v>
      </c>
      <c r="S19">
        <v>4</v>
      </c>
      <c r="T19">
        <v>1</v>
      </c>
      <c r="U19" t="s">
        <v>73</v>
      </c>
      <c r="V19">
        <v>0</v>
      </c>
      <c r="W19" s="1">
        <v>0</v>
      </c>
      <c r="X19">
        <v>3</v>
      </c>
      <c r="Y19" s="1">
        <v>3</v>
      </c>
      <c r="Z19">
        <v>0</v>
      </c>
      <c r="AA19" s="1">
        <v>0</v>
      </c>
      <c r="AB19" s="1">
        <v>0</v>
      </c>
      <c r="AC19" t="s">
        <v>72</v>
      </c>
      <c r="AD19" s="1">
        <v>6</v>
      </c>
      <c r="AE19" s="1">
        <v>6</v>
      </c>
      <c r="AF19" s="1">
        <v>2</v>
      </c>
      <c r="AG19" s="1">
        <v>0</v>
      </c>
      <c r="AH19">
        <v>2</v>
      </c>
      <c r="AI19" s="1">
        <v>125</v>
      </c>
      <c r="AJ19" s="1">
        <v>20</v>
      </c>
      <c r="AK19" s="1" t="s">
        <v>72</v>
      </c>
      <c r="AL19" s="1" t="s">
        <v>72</v>
      </c>
      <c r="AM19" s="63" t="s">
        <v>73</v>
      </c>
      <c r="AN19" s="1">
        <v>2112</v>
      </c>
      <c r="AO19" s="84">
        <v>46013.482916666668</v>
      </c>
      <c r="AP19" s="56">
        <v>46044.746724537035</v>
      </c>
      <c r="AQ19" s="1" t="s">
        <v>73</v>
      </c>
      <c r="AR19" s="1" t="s">
        <v>73</v>
      </c>
      <c r="AS19" s="1" t="s">
        <v>73</v>
      </c>
      <c r="AT19" s="1" t="s">
        <v>73</v>
      </c>
      <c r="AU19" s="1" t="s">
        <v>73</v>
      </c>
      <c r="AV19" s="1" t="s">
        <v>73</v>
      </c>
      <c r="AW19" s="1">
        <v>0</v>
      </c>
      <c r="AX19" t="s">
        <v>73</v>
      </c>
      <c r="AY19" s="1" t="s">
        <v>158</v>
      </c>
      <c r="AZ19" s="1" t="s">
        <v>158</v>
      </c>
      <c r="BA19" s="1" t="s">
        <v>158</v>
      </c>
      <c r="BB19" s="1"/>
      <c r="BD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4"/>
      <c r="CH19" s="4"/>
      <c r="CI19" s="1"/>
      <c r="CJ19" s="1"/>
      <c r="CK19" s="1"/>
      <c r="CL19" s="1"/>
      <c r="CM19" s="42"/>
      <c r="CN19" s="1"/>
      <c r="CO19" s="1"/>
      <c r="CT19"/>
      <c r="CU19"/>
      <c r="CV19"/>
      <c r="CW19"/>
      <c r="CX19"/>
      <c r="CY19"/>
      <c r="CZ19"/>
      <c r="DA19"/>
      <c r="DB19"/>
      <c r="DC19"/>
      <c r="DD19"/>
      <c r="DE19"/>
      <c r="DF19"/>
      <c r="DO19"/>
      <c r="DP19"/>
      <c r="DQ19"/>
      <c r="DR19"/>
      <c r="DS19"/>
      <c r="DT19"/>
      <c r="DU19"/>
      <c r="DV19"/>
      <c r="DW19"/>
      <c r="DX19"/>
      <c r="DY19"/>
      <c r="DZ19"/>
      <c r="EA19"/>
      <c r="EB19"/>
      <c r="EC19"/>
      <c r="ED19"/>
      <c r="EE19"/>
      <c r="EF19"/>
      <c r="EG19"/>
      <c r="EH19"/>
      <c r="EI19"/>
      <c r="FA19"/>
      <c r="FB19"/>
      <c r="FC19"/>
      <c r="FD19"/>
      <c r="FE19"/>
      <c r="FF19"/>
      <c r="FG19"/>
      <c r="FH19"/>
    </row>
    <row r="20" spans="1:164" ht="16" x14ac:dyDescent="0.2">
      <c r="A20" t="s">
        <v>185</v>
      </c>
      <c r="B20" t="s">
        <v>339</v>
      </c>
      <c r="C20" t="s">
        <v>340</v>
      </c>
      <c r="D20" s="1" t="s">
        <v>73</v>
      </c>
      <c r="E20" t="s">
        <v>72</v>
      </c>
      <c r="F20" t="s">
        <v>72</v>
      </c>
      <c r="G20" s="1" t="s">
        <v>73</v>
      </c>
      <c r="H20" s="1"/>
      <c r="I20" s="1">
        <v>6</v>
      </c>
      <c r="N20" s="1">
        <v>4</v>
      </c>
      <c r="O20" s="1"/>
      <c r="P20" s="1"/>
      <c r="Q20">
        <v>4</v>
      </c>
      <c r="R20">
        <v>3</v>
      </c>
      <c r="S20">
        <v>1</v>
      </c>
      <c r="T20">
        <v>0</v>
      </c>
      <c r="U20" t="s">
        <v>72</v>
      </c>
      <c r="V20">
        <v>0</v>
      </c>
      <c r="W20" s="1">
        <v>0</v>
      </c>
      <c r="X20">
        <v>0</v>
      </c>
      <c r="Y20" s="1">
        <v>0</v>
      </c>
      <c r="Z20">
        <v>0</v>
      </c>
      <c r="AA20" s="1">
        <v>0</v>
      </c>
      <c r="AB20" s="1">
        <v>0</v>
      </c>
      <c r="AC20" t="s">
        <v>72</v>
      </c>
      <c r="AD20" s="1">
        <v>0</v>
      </c>
      <c r="AE20" s="1">
        <v>0</v>
      </c>
      <c r="AF20" s="1">
        <v>0</v>
      </c>
      <c r="AG20" s="1">
        <v>0</v>
      </c>
      <c r="AH20">
        <v>0</v>
      </c>
      <c r="AI20" s="1">
        <v>35</v>
      </c>
      <c r="AJ20" s="1">
        <v>4</v>
      </c>
      <c r="AK20" s="1" t="s">
        <v>73</v>
      </c>
      <c r="AL20" s="1" t="s">
        <v>73</v>
      </c>
      <c r="AM20" s="63" t="s">
        <v>73</v>
      </c>
      <c r="AN20" s="1">
        <v>2111</v>
      </c>
      <c r="AO20" s="84">
        <v>46013.476944444446</v>
      </c>
      <c r="AP20" s="56">
        <v>46013.435277777775</v>
      </c>
      <c r="AQ20" s="1" t="s">
        <v>340</v>
      </c>
      <c r="AR20" s="1" t="s">
        <v>349</v>
      </c>
      <c r="AS20" s="1" t="s">
        <v>76</v>
      </c>
      <c r="AT20" s="1" t="s">
        <v>350</v>
      </c>
      <c r="AU20" s="1" t="s">
        <v>351</v>
      </c>
      <c r="AV20" s="1" t="s">
        <v>352</v>
      </c>
      <c r="AW20" s="1">
        <v>20</v>
      </c>
      <c r="AX20" t="s">
        <v>73</v>
      </c>
      <c r="AY20" s="1" t="s">
        <v>158</v>
      </c>
      <c r="AZ20" s="1" t="s">
        <v>158</v>
      </c>
      <c r="BA20" s="1" t="s">
        <v>158</v>
      </c>
      <c r="BB20" s="1"/>
      <c r="BD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4"/>
      <c r="CH20" s="4"/>
      <c r="CI20" s="1"/>
      <c r="CJ20" s="1"/>
      <c r="CK20" s="1"/>
      <c r="CL20" s="1"/>
      <c r="CM20" s="42"/>
      <c r="CN20" s="1"/>
      <c r="CO20" s="1"/>
      <c r="CT20"/>
      <c r="CU20"/>
      <c r="CV20"/>
      <c r="CW20"/>
      <c r="CX20"/>
      <c r="CY20"/>
      <c r="CZ20"/>
      <c r="DA20"/>
      <c r="DB20"/>
      <c r="DC20"/>
      <c r="DD20"/>
      <c r="DE20"/>
      <c r="DF20"/>
      <c r="DO20"/>
      <c r="DP20"/>
      <c r="DQ20"/>
      <c r="DR20"/>
      <c r="DS20"/>
      <c r="DT20"/>
      <c r="DU20"/>
      <c r="DV20"/>
      <c r="DW20"/>
      <c r="DX20"/>
      <c r="DY20"/>
      <c r="DZ20"/>
      <c r="EA20"/>
      <c r="EB20"/>
      <c r="EC20"/>
      <c r="ED20"/>
      <c r="EE20"/>
      <c r="EF20"/>
      <c r="EG20"/>
      <c r="EH20"/>
      <c r="EI20"/>
      <c r="FA20"/>
      <c r="FB20"/>
      <c r="FC20"/>
      <c r="FD20"/>
      <c r="FE20"/>
      <c r="FF20"/>
      <c r="FG20"/>
      <c r="FH20"/>
    </row>
    <row r="21" spans="1:164" ht="32" x14ac:dyDescent="0.2">
      <c r="A21" t="s">
        <v>185</v>
      </c>
      <c r="B21" t="s">
        <v>322</v>
      </c>
      <c r="C21" t="s">
        <v>323</v>
      </c>
      <c r="D21" s="1" t="s">
        <v>73</v>
      </c>
      <c r="E21" t="s">
        <v>72</v>
      </c>
      <c r="F21" t="s">
        <v>72</v>
      </c>
      <c r="G21" s="1" t="s">
        <v>73</v>
      </c>
      <c r="H21" s="1"/>
      <c r="I21" s="1">
        <v>6</v>
      </c>
      <c r="N21" s="1"/>
      <c r="O21" s="1"/>
      <c r="P21" s="1"/>
      <c r="Q21">
        <v>3</v>
      </c>
      <c r="R21">
        <v>2</v>
      </c>
      <c r="S21">
        <v>1</v>
      </c>
      <c r="T21">
        <v>0</v>
      </c>
      <c r="U21" t="s">
        <v>72</v>
      </c>
      <c r="V21">
        <v>0</v>
      </c>
      <c r="W21" s="1">
        <v>0</v>
      </c>
      <c r="X21">
        <v>0</v>
      </c>
      <c r="Y21" s="1">
        <v>0</v>
      </c>
      <c r="Z21">
        <v>0</v>
      </c>
      <c r="AA21" s="1">
        <v>0</v>
      </c>
      <c r="AB21" s="1">
        <v>0</v>
      </c>
      <c r="AC21" t="s">
        <v>72</v>
      </c>
      <c r="AD21" s="1">
        <v>6</v>
      </c>
      <c r="AE21" s="1">
        <v>6</v>
      </c>
      <c r="AF21" s="1">
        <v>0</v>
      </c>
      <c r="AG21" s="1">
        <v>6</v>
      </c>
      <c r="AH21">
        <v>0</v>
      </c>
      <c r="AI21" s="1">
        <v>55</v>
      </c>
      <c r="AJ21" s="1">
        <v>1</v>
      </c>
      <c r="AK21" s="1" t="s">
        <v>73</v>
      </c>
      <c r="AL21" s="1" t="s">
        <v>73</v>
      </c>
      <c r="AM21" s="63" t="s">
        <v>324</v>
      </c>
      <c r="AN21" s="1">
        <v>2104</v>
      </c>
      <c r="AO21" s="84">
        <v>46011.819953703707</v>
      </c>
      <c r="AP21" s="56">
        <v>46011.778287037036</v>
      </c>
      <c r="AQ21" s="1" t="s">
        <v>323</v>
      </c>
      <c r="AR21" s="1" t="s">
        <v>78</v>
      </c>
      <c r="AS21" s="1" t="s">
        <v>179</v>
      </c>
      <c r="AT21" s="1" t="s">
        <v>77</v>
      </c>
      <c r="AU21" s="1" t="s">
        <v>326</v>
      </c>
      <c r="AV21" s="1" t="s">
        <v>327</v>
      </c>
      <c r="AW21" s="1">
        <v>35</v>
      </c>
      <c r="AX21" t="s">
        <v>73</v>
      </c>
      <c r="AY21" s="1" t="s">
        <v>158</v>
      </c>
      <c r="AZ21" s="1" t="s">
        <v>158</v>
      </c>
      <c r="BA21" s="1" t="s">
        <v>158</v>
      </c>
      <c r="BB21" s="1"/>
      <c r="BD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4"/>
      <c r="CH21" s="4"/>
      <c r="CI21" s="1"/>
      <c r="CJ21" s="1"/>
      <c r="CK21" s="1"/>
      <c r="CL21" s="1"/>
      <c r="CM21" s="42"/>
      <c r="CN21" s="1"/>
      <c r="CO21" s="1"/>
      <c r="CT21"/>
      <c r="CU21"/>
      <c r="CV21"/>
      <c r="CW21"/>
      <c r="CX21"/>
      <c r="CY21"/>
      <c r="CZ21"/>
      <c r="DA21"/>
      <c r="DB21"/>
      <c r="DC21"/>
      <c r="DD21"/>
      <c r="DE21"/>
      <c r="DF21"/>
      <c r="DO21"/>
      <c r="DP21"/>
      <c r="DQ21"/>
      <c r="DR21"/>
      <c r="DS21"/>
      <c r="DT21"/>
      <c r="DU21"/>
      <c r="DV21"/>
      <c r="DW21"/>
      <c r="DX21"/>
      <c r="DY21"/>
      <c r="DZ21"/>
      <c r="EA21"/>
      <c r="EB21"/>
      <c r="EC21"/>
      <c r="ED21"/>
      <c r="EE21"/>
      <c r="EF21"/>
      <c r="EG21"/>
      <c r="EH21"/>
      <c r="EI21"/>
      <c r="FA21"/>
      <c r="FB21"/>
      <c r="FC21"/>
      <c r="FD21"/>
      <c r="FE21"/>
      <c r="FF21"/>
      <c r="FG21"/>
      <c r="FH21"/>
    </row>
    <row r="22" spans="1:164" ht="16" x14ac:dyDescent="0.2">
      <c r="A22" t="s">
        <v>185</v>
      </c>
      <c r="B22" t="s">
        <v>316</v>
      </c>
      <c r="C22" t="s">
        <v>317</v>
      </c>
      <c r="D22" s="1" t="s">
        <v>73</v>
      </c>
      <c r="E22" t="s">
        <v>72</v>
      </c>
      <c r="F22" t="s">
        <v>73</v>
      </c>
      <c r="G22" s="1" t="s">
        <v>73</v>
      </c>
      <c r="H22" s="1"/>
      <c r="I22" s="1">
        <v>9</v>
      </c>
      <c r="J22">
        <v>9</v>
      </c>
      <c r="L22">
        <v>5</v>
      </c>
      <c r="N22" s="1"/>
      <c r="O22" s="1"/>
      <c r="P22" s="1"/>
      <c r="Q22">
        <v>0</v>
      </c>
      <c r="R22">
        <v>0</v>
      </c>
      <c r="S22">
        <v>0</v>
      </c>
      <c r="T22">
        <v>0</v>
      </c>
      <c r="U22" t="s">
        <v>73</v>
      </c>
      <c r="V22">
        <v>0</v>
      </c>
      <c r="W22" s="1">
        <v>0</v>
      </c>
      <c r="X22">
        <v>0</v>
      </c>
      <c r="Y22" s="1">
        <v>0</v>
      </c>
      <c r="Z22">
        <v>0</v>
      </c>
      <c r="AA22" s="1">
        <v>0</v>
      </c>
      <c r="AB22" s="1">
        <v>0</v>
      </c>
      <c r="AC22" t="s">
        <v>73</v>
      </c>
      <c r="AD22" s="1">
        <v>6</v>
      </c>
      <c r="AE22" s="1">
        <v>6</v>
      </c>
      <c r="AF22" s="1">
        <v>0</v>
      </c>
      <c r="AG22" s="1">
        <v>6</v>
      </c>
      <c r="AH22">
        <v>2</v>
      </c>
      <c r="AI22" s="1">
        <v>75</v>
      </c>
      <c r="AJ22" s="1">
        <v>20</v>
      </c>
      <c r="AK22" s="1" t="s">
        <v>73</v>
      </c>
      <c r="AL22" s="1" t="s">
        <v>72</v>
      </c>
      <c r="AM22" s="63" t="s">
        <v>73</v>
      </c>
      <c r="AN22" s="1">
        <v>2101</v>
      </c>
      <c r="AO22" s="84">
        <v>46011.599976851852</v>
      </c>
      <c r="AP22" s="56">
        <v>46011.558310185188</v>
      </c>
      <c r="AQ22" s="1" t="s">
        <v>73</v>
      </c>
      <c r="AR22" s="1" t="s">
        <v>73</v>
      </c>
      <c r="AS22" s="1" t="s">
        <v>73</v>
      </c>
      <c r="AT22" s="1" t="s">
        <v>73</v>
      </c>
      <c r="AU22" s="1" t="s">
        <v>73</v>
      </c>
      <c r="AV22" s="1" t="s">
        <v>73</v>
      </c>
      <c r="AW22" s="1">
        <v>0</v>
      </c>
      <c r="AX22" t="s">
        <v>73</v>
      </c>
      <c r="AY22" s="1" t="s">
        <v>158</v>
      </c>
      <c r="AZ22" s="1" t="s">
        <v>158</v>
      </c>
      <c r="BA22" s="1" t="s">
        <v>158</v>
      </c>
      <c r="BB22" s="1"/>
      <c r="BD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4"/>
      <c r="CH22" s="4"/>
      <c r="CI22" s="1"/>
      <c r="CJ22" s="1"/>
      <c r="CK22" s="1"/>
      <c r="CL22" s="1"/>
      <c r="CM22" s="42"/>
      <c r="CN22" s="1"/>
      <c r="CO22" s="1"/>
      <c r="CT22"/>
      <c r="CU22"/>
      <c r="CV22"/>
      <c r="CW22"/>
      <c r="CX22"/>
      <c r="CY22"/>
      <c r="CZ22"/>
      <c r="DA22"/>
      <c r="DB22"/>
      <c r="DC22"/>
      <c r="DD22"/>
      <c r="DE22"/>
      <c r="DF22"/>
      <c r="DO22"/>
      <c r="DP22"/>
      <c r="DQ22"/>
      <c r="DR22"/>
      <c r="DS22"/>
      <c r="DT22"/>
      <c r="DU22"/>
      <c r="DV22"/>
      <c r="DW22"/>
      <c r="DX22"/>
      <c r="DY22"/>
      <c r="DZ22"/>
      <c r="EA22"/>
      <c r="EB22"/>
      <c r="EC22"/>
      <c r="ED22"/>
      <c r="EE22"/>
      <c r="EF22"/>
      <c r="EG22"/>
      <c r="EH22"/>
      <c r="EI22"/>
      <c r="FA22"/>
      <c r="FB22"/>
      <c r="FC22"/>
      <c r="FD22"/>
      <c r="FE22"/>
      <c r="FF22"/>
      <c r="FG22"/>
      <c r="FH22"/>
    </row>
    <row r="23" spans="1:164" ht="16" x14ac:dyDescent="0.2">
      <c r="A23" t="s">
        <v>185</v>
      </c>
      <c r="B23" t="s">
        <v>302</v>
      </c>
      <c r="C23" t="s">
        <v>303</v>
      </c>
      <c r="D23" s="1" t="s">
        <v>73</v>
      </c>
      <c r="E23" t="s">
        <v>72</v>
      </c>
      <c r="F23" t="s">
        <v>72</v>
      </c>
      <c r="G23" s="1" t="s">
        <v>73</v>
      </c>
      <c r="H23" s="1"/>
      <c r="I23" s="1">
        <v>10</v>
      </c>
      <c r="N23" s="1"/>
      <c r="O23" s="1"/>
      <c r="P23" s="1"/>
      <c r="Q23">
        <v>0</v>
      </c>
      <c r="R23">
        <v>0</v>
      </c>
      <c r="S23">
        <v>0</v>
      </c>
      <c r="T23">
        <v>0</v>
      </c>
      <c r="U23" t="s">
        <v>73</v>
      </c>
      <c r="V23">
        <v>0</v>
      </c>
      <c r="W23" s="1">
        <v>0</v>
      </c>
      <c r="X23">
        <v>5</v>
      </c>
      <c r="Y23" s="1">
        <v>5</v>
      </c>
      <c r="Z23">
        <v>0</v>
      </c>
      <c r="AA23" s="1">
        <v>0</v>
      </c>
      <c r="AB23" s="1">
        <v>0</v>
      </c>
      <c r="AC23" t="s">
        <v>72</v>
      </c>
      <c r="AD23" s="1">
        <v>4</v>
      </c>
      <c r="AE23" s="1">
        <v>0</v>
      </c>
      <c r="AF23" s="1">
        <v>0</v>
      </c>
      <c r="AG23" s="1">
        <v>0</v>
      </c>
      <c r="AH23">
        <v>0</v>
      </c>
      <c r="AI23" s="1">
        <v>65</v>
      </c>
      <c r="AJ23" s="1">
        <v>2</v>
      </c>
      <c r="AK23" s="1" t="s">
        <v>72</v>
      </c>
      <c r="AL23" s="1" t="s">
        <v>73</v>
      </c>
      <c r="AM23" s="63" t="s">
        <v>73</v>
      </c>
      <c r="AN23" s="1">
        <v>2094</v>
      </c>
      <c r="AO23" s="84">
        <v>46011.050937499997</v>
      </c>
      <c r="AP23" s="56">
        <v>46044.747060185182</v>
      </c>
      <c r="AQ23" s="1" t="s">
        <v>73</v>
      </c>
      <c r="AR23" s="1" t="s">
        <v>73</v>
      </c>
      <c r="AS23" s="1" t="s">
        <v>73</v>
      </c>
      <c r="AT23" s="1" t="s">
        <v>73</v>
      </c>
      <c r="AU23" s="1" t="s">
        <v>73</v>
      </c>
      <c r="AV23" s="1" t="s">
        <v>73</v>
      </c>
      <c r="AW23" s="1">
        <v>0</v>
      </c>
      <c r="AX23" t="s">
        <v>73</v>
      </c>
      <c r="AY23" s="1" t="s">
        <v>158</v>
      </c>
      <c r="AZ23" s="1" t="s">
        <v>158</v>
      </c>
      <c r="BA23" s="1" t="s">
        <v>158</v>
      </c>
      <c r="BB23" s="1"/>
      <c r="BD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4"/>
      <c r="CH23" s="4"/>
      <c r="CI23" s="1"/>
      <c r="CJ23" s="1"/>
      <c r="CK23" s="1"/>
      <c r="CL23" s="1"/>
      <c r="CM23" s="42"/>
      <c r="CN23" s="1"/>
      <c r="CO23" s="1"/>
      <c r="CT23"/>
      <c r="CU23"/>
      <c r="CV23"/>
      <c r="CW23"/>
      <c r="CX23"/>
      <c r="CY23"/>
      <c r="CZ23"/>
      <c r="DA23"/>
      <c r="DB23"/>
      <c r="DC23"/>
      <c r="DD23"/>
      <c r="DE23"/>
      <c r="DF23"/>
      <c r="DO23"/>
      <c r="DP23"/>
      <c r="DQ23"/>
      <c r="DR23"/>
      <c r="DS23"/>
      <c r="DT23"/>
      <c r="DU23"/>
      <c r="DV23"/>
      <c r="DW23"/>
      <c r="DX23"/>
      <c r="DY23"/>
      <c r="DZ23"/>
      <c r="EA23"/>
      <c r="EB23"/>
      <c r="EC23"/>
      <c r="ED23"/>
      <c r="EE23"/>
      <c r="EF23"/>
      <c r="EG23"/>
      <c r="EH23"/>
      <c r="EI23"/>
      <c r="FA23"/>
      <c r="FB23"/>
      <c r="FC23"/>
      <c r="FD23"/>
      <c r="FE23"/>
      <c r="FF23"/>
      <c r="FG23"/>
      <c r="FH23"/>
    </row>
    <row r="24" spans="1:164" ht="16" x14ac:dyDescent="0.2">
      <c r="A24" t="s">
        <v>185</v>
      </c>
      <c r="B24" t="s">
        <v>297</v>
      </c>
      <c r="C24" t="s">
        <v>298</v>
      </c>
      <c r="D24" s="1" t="s">
        <v>73</v>
      </c>
      <c r="E24" t="s">
        <v>72</v>
      </c>
      <c r="F24" t="s">
        <v>72</v>
      </c>
      <c r="G24" s="1" t="s">
        <v>73</v>
      </c>
      <c r="H24" s="1"/>
      <c r="I24" s="1">
        <v>5</v>
      </c>
      <c r="L24">
        <v>1</v>
      </c>
      <c r="N24" s="1"/>
      <c r="O24" s="1"/>
      <c r="P24" s="1"/>
      <c r="Q24">
        <v>0</v>
      </c>
      <c r="R24">
        <v>0</v>
      </c>
      <c r="S24">
        <v>0</v>
      </c>
      <c r="T24">
        <v>0</v>
      </c>
      <c r="U24" t="s">
        <v>73</v>
      </c>
      <c r="V24">
        <v>0</v>
      </c>
      <c r="W24" s="1">
        <v>0</v>
      </c>
      <c r="X24">
        <v>0</v>
      </c>
      <c r="Y24" s="1">
        <v>0</v>
      </c>
      <c r="Z24">
        <v>0</v>
      </c>
      <c r="AA24" s="1">
        <v>0</v>
      </c>
      <c r="AB24" s="1">
        <v>0</v>
      </c>
      <c r="AC24" t="s">
        <v>73</v>
      </c>
      <c r="AD24" s="1">
        <v>6</v>
      </c>
      <c r="AE24" s="1">
        <v>6</v>
      </c>
      <c r="AF24" s="1">
        <v>6</v>
      </c>
      <c r="AG24" s="1">
        <v>6</v>
      </c>
      <c r="AH24">
        <v>0</v>
      </c>
      <c r="AI24" s="1">
        <v>70</v>
      </c>
      <c r="AJ24" s="1">
        <v>10</v>
      </c>
      <c r="AK24" s="1" t="s">
        <v>73</v>
      </c>
      <c r="AL24" s="1" t="s">
        <v>73</v>
      </c>
      <c r="AM24" s="63" t="s">
        <v>73</v>
      </c>
      <c r="AN24" s="1">
        <v>2090</v>
      </c>
      <c r="AO24" s="84">
        <v>46008.493437500001</v>
      </c>
      <c r="AP24" s="56">
        <v>46008.451770833337</v>
      </c>
      <c r="AQ24" s="1" t="s">
        <v>73</v>
      </c>
      <c r="AR24" s="1" t="s">
        <v>73</v>
      </c>
      <c r="AS24" s="1" t="s">
        <v>73</v>
      </c>
      <c r="AT24" s="1" t="s">
        <v>73</v>
      </c>
      <c r="AU24" s="1" t="s">
        <v>73</v>
      </c>
      <c r="AV24" s="1" t="s">
        <v>73</v>
      </c>
      <c r="AW24" s="1">
        <v>0</v>
      </c>
      <c r="AX24" t="s">
        <v>73</v>
      </c>
      <c r="AY24" s="1" t="s">
        <v>158</v>
      </c>
      <c r="AZ24" s="1" t="s">
        <v>158</v>
      </c>
      <c r="BA24" s="1" t="s">
        <v>158</v>
      </c>
      <c r="BB24" s="1"/>
      <c r="BD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4"/>
      <c r="CH24" s="4"/>
      <c r="CI24" s="1"/>
      <c r="CJ24" s="1"/>
      <c r="CK24" s="1"/>
      <c r="CL24" s="1"/>
      <c r="CM24" s="42"/>
      <c r="CN24" s="1"/>
      <c r="CO24" s="1"/>
      <c r="CT24"/>
      <c r="CU24"/>
      <c r="CV24"/>
      <c r="CW24"/>
      <c r="CX24"/>
      <c r="CY24"/>
      <c r="CZ24"/>
      <c r="DA24"/>
      <c r="DB24"/>
      <c r="DC24"/>
      <c r="DD24"/>
      <c r="DE24"/>
      <c r="DF24"/>
      <c r="DO24"/>
      <c r="DP24"/>
      <c r="DQ24"/>
      <c r="DR24"/>
      <c r="DS24"/>
      <c r="DT24"/>
      <c r="DU24"/>
      <c r="DV24"/>
      <c r="DW24"/>
      <c r="DX24"/>
      <c r="DY24"/>
      <c r="DZ24"/>
      <c r="EA24"/>
      <c r="EB24"/>
      <c r="EC24"/>
      <c r="ED24"/>
      <c r="EE24"/>
      <c r="EF24"/>
      <c r="EG24"/>
      <c r="EH24"/>
      <c r="EI24"/>
      <c r="FA24"/>
      <c r="FB24"/>
      <c r="FC24"/>
      <c r="FD24"/>
      <c r="FE24"/>
      <c r="FF24"/>
      <c r="FG24"/>
      <c r="FH24"/>
    </row>
    <row r="25" spans="1:164" ht="16" x14ac:dyDescent="0.2">
      <c r="A25" t="s">
        <v>185</v>
      </c>
      <c r="B25" t="s">
        <v>294</v>
      </c>
      <c r="C25" t="s">
        <v>295</v>
      </c>
      <c r="D25" s="1" t="s">
        <v>73</v>
      </c>
      <c r="E25" t="s">
        <v>72</v>
      </c>
      <c r="F25" t="s">
        <v>72</v>
      </c>
      <c r="G25" s="1" t="s">
        <v>73</v>
      </c>
      <c r="H25" s="1"/>
      <c r="I25" s="1">
        <v>5</v>
      </c>
      <c r="N25" s="1"/>
      <c r="O25" s="1"/>
      <c r="P25" s="1"/>
      <c r="Q25">
        <v>0</v>
      </c>
      <c r="R25">
        <v>0</v>
      </c>
      <c r="S25">
        <v>0</v>
      </c>
      <c r="T25">
        <v>0</v>
      </c>
      <c r="U25" t="s">
        <v>73</v>
      </c>
      <c r="V25">
        <v>0</v>
      </c>
      <c r="W25" s="1">
        <v>0</v>
      </c>
      <c r="X25">
        <v>0</v>
      </c>
      <c r="Y25" s="1">
        <v>0</v>
      </c>
      <c r="Z25">
        <v>0</v>
      </c>
      <c r="AA25" s="1">
        <v>0</v>
      </c>
      <c r="AB25" s="1">
        <v>0</v>
      </c>
      <c r="AC25" t="s">
        <v>73</v>
      </c>
      <c r="AD25" s="1">
        <v>0</v>
      </c>
      <c r="AE25" s="1">
        <v>0</v>
      </c>
      <c r="AF25" s="1">
        <v>0</v>
      </c>
      <c r="AG25" s="1">
        <v>0</v>
      </c>
      <c r="AH25">
        <v>0</v>
      </c>
      <c r="AI25" s="1">
        <v>25</v>
      </c>
      <c r="AJ25" s="1">
        <v>10</v>
      </c>
      <c r="AK25" s="1" t="s">
        <v>73</v>
      </c>
      <c r="AL25" s="1" t="s">
        <v>73</v>
      </c>
      <c r="AM25" s="63" t="s">
        <v>300</v>
      </c>
      <c r="AN25" s="1">
        <v>2088</v>
      </c>
      <c r="AO25" s="84">
        <v>46007.962175925924</v>
      </c>
      <c r="AP25" s="56">
        <v>46007.92050925926</v>
      </c>
      <c r="AQ25" s="1" t="s">
        <v>73</v>
      </c>
      <c r="AR25" s="1" t="s">
        <v>73</v>
      </c>
      <c r="AS25" s="1" t="s">
        <v>73</v>
      </c>
      <c r="AT25" s="1" t="s">
        <v>73</v>
      </c>
      <c r="AU25" s="1" t="s">
        <v>73</v>
      </c>
      <c r="AV25" s="1" t="s">
        <v>73</v>
      </c>
      <c r="AW25" s="1">
        <v>0</v>
      </c>
      <c r="AX25" t="s">
        <v>73</v>
      </c>
      <c r="AY25" s="1" t="s">
        <v>158</v>
      </c>
      <c r="AZ25" s="1" t="s">
        <v>158</v>
      </c>
      <c r="BA25" s="1" t="s">
        <v>158</v>
      </c>
      <c r="BB25" s="1"/>
      <c r="BD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4"/>
      <c r="CH25" s="4"/>
      <c r="CI25" s="1"/>
      <c r="CJ25" s="1"/>
      <c r="CK25" s="1"/>
      <c r="CL25" s="1"/>
      <c r="CM25" s="42"/>
      <c r="CN25" s="1"/>
      <c r="CO25" s="1"/>
      <c r="CT25"/>
      <c r="CU25"/>
      <c r="CV25"/>
      <c r="CW25"/>
      <c r="CX25"/>
      <c r="CY25"/>
      <c r="CZ25"/>
      <c r="DA25"/>
      <c r="DB25"/>
      <c r="DC25"/>
      <c r="DD25"/>
      <c r="DE25"/>
      <c r="DF25"/>
      <c r="DO25"/>
      <c r="DP25"/>
      <c r="DQ25"/>
      <c r="DR25"/>
      <c r="DS25"/>
      <c r="DT25"/>
      <c r="DU25"/>
      <c r="DV25"/>
      <c r="DW25"/>
      <c r="DX25"/>
      <c r="DY25"/>
      <c r="DZ25"/>
      <c r="EA25"/>
      <c r="EB25"/>
      <c r="EC25"/>
      <c r="ED25"/>
      <c r="EE25"/>
      <c r="EF25"/>
      <c r="EG25"/>
      <c r="EH25"/>
      <c r="EI25"/>
      <c r="FA25"/>
      <c r="FB25"/>
      <c r="FC25"/>
      <c r="FD25"/>
      <c r="FE25"/>
      <c r="FF25"/>
      <c r="FG25"/>
      <c r="FH25"/>
    </row>
    <row r="26" spans="1:164" ht="16" x14ac:dyDescent="0.2">
      <c r="A26" t="s">
        <v>185</v>
      </c>
      <c r="B26" t="s">
        <v>260</v>
      </c>
      <c r="C26" t="s">
        <v>281</v>
      </c>
      <c r="D26" s="1" t="s">
        <v>73</v>
      </c>
      <c r="E26" t="s">
        <v>72</v>
      </c>
      <c r="F26" t="s">
        <v>72</v>
      </c>
      <c r="G26" s="1" t="s">
        <v>73</v>
      </c>
      <c r="H26" s="1" t="s">
        <v>72</v>
      </c>
      <c r="I26" s="1">
        <v>5</v>
      </c>
      <c r="J26">
        <v>6</v>
      </c>
      <c r="N26" s="1"/>
      <c r="O26" s="1"/>
      <c r="P26" s="1"/>
      <c r="Q26">
        <v>0</v>
      </c>
      <c r="R26">
        <v>0</v>
      </c>
      <c r="S26">
        <v>0</v>
      </c>
      <c r="T26">
        <v>0</v>
      </c>
      <c r="U26" t="s">
        <v>73</v>
      </c>
      <c r="V26">
        <v>3</v>
      </c>
      <c r="W26" s="1">
        <v>18</v>
      </c>
      <c r="X26">
        <v>3</v>
      </c>
      <c r="Y26" s="1">
        <v>3</v>
      </c>
      <c r="Z26">
        <v>0</v>
      </c>
      <c r="AA26" s="1">
        <v>0</v>
      </c>
      <c r="AB26" s="1">
        <v>0</v>
      </c>
      <c r="AC26" t="s">
        <v>72</v>
      </c>
      <c r="AD26" s="1">
        <v>6</v>
      </c>
      <c r="AE26" s="1">
        <v>6</v>
      </c>
      <c r="AF26" s="1">
        <v>0</v>
      </c>
      <c r="AG26" s="1">
        <v>0</v>
      </c>
      <c r="AH26">
        <v>1</v>
      </c>
      <c r="AI26" s="1">
        <v>120</v>
      </c>
      <c r="AJ26" s="1">
        <v>30</v>
      </c>
      <c r="AK26" s="1" t="s">
        <v>72</v>
      </c>
      <c r="AL26" s="1" t="s">
        <v>73</v>
      </c>
      <c r="AM26" s="63" t="s">
        <v>73</v>
      </c>
      <c r="AN26" s="1">
        <v>2085</v>
      </c>
      <c r="AO26" s="84">
        <v>46006.750601851854</v>
      </c>
      <c r="AP26" s="56">
        <v>46006.720810185187</v>
      </c>
      <c r="AQ26" s="1" t="s">
        <v>73</v>
      </c>
      <c r="AR26" s="1" t="s">
        <v>73</v>
      </c>
      <c r="AS26" s="1" t="s">
        <v>73</v>
      </c>
      <c r="AT26" s="1" t="s">
        <v>73</v>
      </c>
      <c r="AU26" s="1" t="s">
        <v>73</v>
      </c>
      <c r="AV26" s="1" t="s">
        <v>73</v>
      </c>
      <c r="AW26" s="1">
        <v>0</v>
      </c>
      <c r="AX26" t="s">
        <v>75</v>
      </c>
      <c r="AY26" s="1" t="s">
        <v>263</v>
      </c>
      <c r="AZ26" s="1" t="s">
        <v>264</v>
      </c>
      <c r="BA26" s="1" t="s">
        <v>265</v>
      </c>
      <c r="BB26" s="1"/>
      <c r="BD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4"/>
      <c r="CH26" s="4"/>
      <c r="CI26" s="1"/>
      <c r="CJ26" s="1"/>
      <c r="CK26" s="1"/>
      <c r="CL26" s="1"/>
      <c r="CM26" s="42"/>
      <c r="CN26" s="1"/>
      <c r="CO26" s="1"/>
      <c r="CT26"/>
      <c r="CU26"/>
      <c r="CV26"/>
      <c r="CW26"/>
      <c r="CX26"/>
      <c r="CY26"/>
      <c r="CZ26"/>
      <c r="DA26"/>
      <c r="DB26"/>
      <c r="DC26"/>
      <c r="DD26"/>
      <c r="DE26"/>
      <c r="DF26"/>
      <c r="DO26"/>
      <c r="DP26"/>
      <c r="DQ26"/>
      <c r="DR26"/>
      <c r="DS26"/>
      <c r="DT26"/>
      <c r="DU26"/>
      <c r="DV26"/>
      <c r="DW26"/>
      <c r="DX26"/>
      <c r="DY26"/>
      <c r="DZ26"/>
      <c r="EA26"/>
      <c r="EB26"/>
      <c r="EC26"/>
      <c r="ED26"/>
      <c r="EE26"/>
      <c r="EF26"/>
      <c r="EG26"/>
      <c r="EH26"/>
      <c r="EI26"/>
      <c r="FA26"/>
      <c r="FB26"/>
      <c r="FC26"/>
      <c r="FD26"/>
      <c r="FE26"/>
      <c r="FF26"/>
      <c r="FG26"/>
      <c r="FH26"/>
    </row>
    <row r="27" spans="1:164" ht="16" x14ac:dyDescent="0.2">
      <c r="A27" t="s">
        <v>185</v>
      </c>
      <c r="B27" t="s">
        <v>274</v>
      </c>
      <c r="C27" t="s">
        <v>275</v>
      </c>
      <c r="D27" s="1" t="s">
        <v>73</v>
      </c>
      <c r="E27" t="s">
        <v>73</v>
      </c>
      <c r="F27" t="s">
        <v>72</v>
      </c>
      <c r="G27" s="1" t="s">
        <v>73</v>
      </c>
      <c r="H27" s="1"/>
      <c r="I27" s="1"/>
      <c r="N27" s="1"/>
      <c r="O27" s="1"/>
      <c r="P27" s="1"/>
      <c r="Q27">
        <v>0</v>
      </c>
      <c r="R27">
        <v>0</v>
      </c>
      <c r="S27">
        <v>0</v>
      </c>
      <c r="T27">
        <v>0</v>
      </c>
      <c r="U27" t="s">
        <v>73</v>
      </c>
      <c r="V27">
        <v>0</v>
      </c>
      <c r="W27" s="1">
        <v>0</v>
      </c>
      <c r="X27">
        <v>0</v>
      </c>
      <c r="Y27" s="1">
        <v>0</v>
      </c>
      <c r="Z27">
        <v>0</v>
      </c>
      <c r="AA27" s="1">
        <v>0</v>
      </c>
      <c r="AB27" s="1">
        <v>0</v>
      </c>
      <c r="AC27" t="s">
        <v>73</v>
      </c>
      <c r="AD27" s="1">
        <v>6</v>
      </c>
      <c r="AE27" s="1">
        <v>0</v>
      </c>
      <c r="AF27" s="1">
        <v>0</v>
      </c>
      <c r="AG27" s="1">
        <v>6</v>
      </c>
      <c r="AH27">
        <v>0</v>
      </c>
      <c r="AI27" s="1">
        <v>16</v>
      </c>
      <c r="AJ27" s="1">
        <v>1</v>
      </c>
      <c r="AK27" s="1" t="s">
        <v>73</v>
      </c>
      <c r="AL27" s="1" t="s">
        <v>73</v>
      </c>
      <c r="AM27" s="63" t="s">
        <v>283</v>
      </c>
      <c r="AN27" s="1">
        <v>2084</v>
      </c>
      <c r="AO27" s="84">
        <v>46006.744270833333</v>
      </c>
      <c r="AP27" s="56">
        <v>46006.702604166669</v>
      </c>
      <c r="AQ27" s="1" t="s">
        <v>73</v>
      </c>
      <c r="AR27" s="1" t="s">
        <v>73</v>
      </c>
      <c r="AS27" s="1" t="s">
        <v>73</v>
      </c>
      <c r="AT27" s="1" t="s">
        <v>73</v>
      </c>
      <c r="AU27" s="1" t="s">
        <v>73</v>
      </c>
      <c r="AV27" s="1" t="s">
        <v>73</v>
      </c>
      <c r="AW27" s="1">
        <v>0</v>
      </c>
      <c r="AX27" t="s">
        <v>73</v>
      </c>
      <c r="AY27" s="1" t="s">
        <v>158</v>
      </c>
      <c r="AZ27" s="1" t="s">
        <v>158</v>
      </c>
      <c r="BA27" s="1" t="s">
        <v>158</v>
      </c>
      <c r="BB27" s="1"/>
      <c r="BD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4"/>
      <c r="CH27" s="4"/>
      <c r="CI27" s="1"/>
      <c r="CJ27" s="1"/>
      <c r="CK27" s="1"/>
      <c r="CL27" s="1"/>
      <c r="CM27" s="42"/>
      <c r="CN27" s="1"/>
      <c r="CO27" s="1"/>
      <c r="CT27"/>
      <c r="CU27"/>
      <c r="CV27"/>
      <c r="CW27"/>
      <c r="CX27"/>
      <c r="CY27"/>
      <c r="CZ27"/>
      <c r="DA27"/>
      <c r="DB27"/>
      <c r="DC27"/>
      <c r="DD27"/>
      <c r="DE27"/>
      <c r="DF27"/>
      <c r="DO27"/>
      <c r="DP27"/>
      <c r="DQ27"/>
      <c r="DR27"/>
      <c r="DS27"/>
      <c r="DT27"/>
      <c r="DU27"/>
      <c r="DV27"/>
      <c r="DW27"/>
      <c r="DX27"/>
      <c r="DY27"/>
      <c r="DZ27"/>
      <c r="EA27"/>
      <c r="EB27"/>
      <c r="EC27"/>
      <c r="ED27"/>
      <c r="EE27"/>
      <c r="EF27"/>
      <c r="EG27"/>
      <c r="EH27"/>
      <c r="EI27"/>
      <c r="FA27"/>
      <c r="FB27"/>
      <c r="FC27"/>
      <c r="FD27"/>
      <c r="FE27"/>
      <c r="FF27"/>
      <c r="FG27"/>
      <c r="FH27"/>
    </row>
    <row r="28" spans="1:164" ht="16" x14ac:dyDescent="0.2">
      <c r="A28" t="s">
        <v>185</v>
      </c>
      <c r="B28" t="s">
        <v>271</v>
      </c>
      <c r="C28" t="s">
        <v>272</v>
      </c>
      <c r="D28" s="1" t="s">
        <v>73</v>
      </c>
      <c r="E28" t="s">
        <v>72</v>
      </c>
      <c r="F28" t="s">
        <v>73</v>
      </c>
      <c r="G28" s="1" t="s">
        <v>73</v>
      </c>
      <c r="H28" s="1"/>
      <c r="I28" s="1">
        <v>5</v>
      </c>
      <c r="J28">
        <v>5</v>
      </c>
      <c r="N28" s="1"/>
      <c r="O28" s="1"/>
      <c r="P28" s="1"/>
      <c r="Q28">
        <v>0</v>
      </c>
      <c r="R28">
        <v>0</v>
      </c>
      <c r="S28">
        <v>0</v>
      </c>
      <c r="T28">
        <v>0</v>
      </c>
      <c r="U28" t="s">
        <v>73</v>
      </c>
      <c r="V28">
        <v>0</v>
      </c>
      <c r="W28" s="1">
        <v>0</v>
      </c>
      <c r="X28">
        <v>7</v>
      </c>
      <c r="Y28" s="1">
        <v>5</v>
      </c>
      <c r="Z28">
        <v>1</v>
      </c>
      <c r="AA28" s="1">
        <v>1</v>
      </c>
      <c r="AB28" s="1">
        <v>0</v>
      </c>
      <c r="AC28" t="s">
        <v>73</v>
      </c>
      <c r="AD28" s="1">
        <v>3</v>
      </c>
      <c r="AE28" s="1">
        <v>3</v>
      </c>
      <c r="AF28" s="1">
        <v>0</v>
      </c>
      <c r="AG28" s="1">
        <v>3</v>
      </c>
      <c r="AH28">
        <v>0</v>
      </c>
      <c r="AI28" s="1">
        <v>45</v>
      </c>
      <c r="AJ28" s="1">
        <v>10</v>
      </c>
      <c r="AK28" s="1" t="s">
        <v>73</v>
      </c>
      <c r="AL28" s="1" t="s">
        <v>73</v>
      </c>
      <c r="AM28" s="63" t="s">
        <v>73</v>
      </c>
      <c r="AN28" s="1">
        <v>2080</v>
      </c>
      <c r="AO28" s="84">
        <v>46006.606979166667</v>
      </c>
      <c r="AP28" s="56">
        <v>46006.565312500003</v>
      </c>
      <c r="AQ28" s="1" t="s">
        <v>73</v>
      </c>
      <c r="AR28" s="1" t="s">
        <v>73</v>
      </c>
      <c r="AS28" s="1" t="s">
        <v>73</v>
      </c>
      <c r="AT28" s="1" t="s">
        <v>73</v>
      </c>
      <c r="AU28" s="1" t="s">
        <v>73</v>
      </c>
      <c r="AV28" s="1" t="s">
        <v>73</v>
      </c>
      <c r="AW28" s="1">
        <v>0</v>
      </c>
      <c r="AX28" t="s">
        <v>73</v>
      </c>
      <c r="AY28" s="1" t="s">
        <v>158</v>
      </c>
      <c r="AZ28" s="1" t="s">
        <v>158</v>
      </c>
      <c r="BA28" s="1" t="s">
        <v>158</v>
      </c>
      <c r="BB28" s="1"/>
      <c r="BD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4"/>
      <c r="CH28" s="4"/>
      <c r="CI28" s="1"/>
      <c r="CJ28" s="1"/>
      <c r="CK28" s="1"/>
      <c r="CL28" s="1"/>
      <c r="CM28" s="42"/>
      <c r="CN28" s="1"/>
      <c r="CO28" s="1"/>
      <c r="CT28"/>
      <c r="CU28"/>
      <c r="CV28"/>
      <c r="CW28"/>
      <c r="CX28"/>
      <c r="CY28"/>
      <c r="CZ28"/>
      <c r="DA28"/>
      <c r="DB28"/>
      <c r="DC28"/>
      <c r="DD28"/>
      <c r="DE28"/>
      <c r="DF28"/>
      <c r="DO28"/>
      <c r="DP28"/>
      <c r="DQ28"/>
      <c r="DR28"/>
      <c r="DS28"/>
      <c r="DT28"/>
      <c r="DU28"/>
      <c r="DV28"/>
      <c r="DW28"/>
      <c r="DX28"/>
      <c r="DY28"/>
      <c r="DZ28"/>
      <c r="EA28"/>
      <c r="EB28"/>
      <c r="EC28"/>
      <c r="ED28"/>
      <c r="EE28"/>
      <c r="EF28"/>
      <c r="EG28"/>
      <c r="EH28"/>
      <c r="EI28"/>
      <c r="FA28"/>
      <c r="FB28"/>
      <c r="FC28"/>
      <c r="FD28"/>
      <c r="FE28"/>
      <c r="FF28"/>
      <c r="FG28"/>
      <c r="FH28"/>
    </row>
    <row r="29" spans="1:164" ht="16" x14ac:dyDescent="0.2">
      <c r="A29" t="s">
        <v>185</v>
      </c>
      <c r="B29" t="s">
        <v>278</v>
      </c>
      <c r="C29" t="s">
        <v>279</v>
      </c>
      <c r="D29" s="1" t="s">
        <v>73</v>
      </c>
      <c r="E29" t="s">
        <v>72</v>
      </c>
      <c r="F29" t="s">
        <v>72</v>
      </c>
      <c r="G29" s="1" t="s">
        <v>73</v>
      </c>
      <c r="H29" s="1"/>
      <c r="I29" s="1">
        <v>6</v>
      </c>
      <c r="J29">
        <v>2</v>
      </c>
      <c r="N29" s="1"/>
      <c r="O29" s="1"/>
      <c r="P29" s="1"/>
      <c r="Q29">
        <v>1</v>
      </c>
      <c r="R29">
        <v>0</v>
      </c>
      <c r="S29">
        <v>1</v>
      </c>
      <c r="T29">
        <v>0</v>
      </c>
      <c r="U29" t="s">
        <v>72</v>
      </c>
      <c r="V29">
        <v>0</v>
      </c>
      <c r="W29" s="1">
        <v>0</v>
      </c>
      <c r="X29">
        <v>0</v>
      </c>
      <c r="Y29" s="1">
        <v>0</v>
      </c>
      <c r="Z29">
        <v>0</v>
      </c>
      <c r="AA29" s="1">
        <v>0</v>
      </c>
      <c r="AB29" s="1">
        <v>0</v>
      </c>
      <c r="AC29" t="s">
        <v>73</v>
      </c>
      <c r="AD29" s="1">
        <v>0</v>
      </c>
      <c r="AE29" s="1">
        <v>0</v>
      </c>
      <c r="AF29" s="1">
        <v>0</v>
      </c>
      <c r="AG29" s="1">
        <v>6</v>
      </c>
      <c r="AH29">
        <v>0</v>
      </c>
      <c r="AI29" s="1">
        <v>25</v>
      </c>
      <c r="AJ29" s="1">
        <v>2</v>
      </c>
      <c r="AK29" s="1" t="s">
        <v>73</v>
      </c>
      <c r="AL29" s="1" t="s">
        <v>73</v>
      </c>
      <c r="AM29" s="63" t="s">
        <v>73</v>
      </c>
      <c r="AN29" s="1">
        <v>2074</v>
      </c>
      <c r="AO29" s="84">
        <v>46006.476782407408</v>
      </c>
      <c r="AP29" s="56">
        <v>46008.365856481483</v>
      </c>
      <c r="AQ29" s="1" t="s">
        <v>279</v>
      </c>
      <c r="AR29" s="1" t="s">
        <v>287</v>
      </c>
      <c r="AS29" s="1" t="s">
        <v>76</v>
      </c>
      <c r="AT29" s="1" t="s">
        <v>288</v>
      </c>
      <c r="AU29" s="1" t="s">
        <v>289</v>
      </c>
      <c r="AV29" s="1" t="s">
        <v>289</v>
      </c>
      <c r="AW29" s="1">
        <v>7</v>
      </c>
      <c r="AX29" t="s">
        <v>73</v>
      </c>
      <c r="AY29" s="1" t="s">
        <v>158</v>
      </c>
      <c r="AZ29" s="1" t="s">
        <v>158</v>
      </c>
      <c r="BA29" s="1" t="s">
        <v>158</v>
      </c>
      <c r="BB29" s="1"/>
      <c r="BD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4"/>
      <c r="CH29" s="4"/>
      <c r="CI29" s="1"/>
      <c r="CJ29" s="1"/>
      <c r="CK29" s="1"/>
      <c r="CL29" s="1"/>
      <c r="CM29" s="42"/>
      <c r="CN29" s="1"/>
      <c r="CO29" s="1"/>
      <c r="CT29"/>
      <c r="CU29"/>
      <c r="CV29"/>
      <c r="CW29"/>
      <c r="CX29"/>
      <c r="CY29"/>
      <c r="CZ29"/>
      <c r="DA29"/>
      <c r="DB29"/>
      <c r="DC29"/>
      <c r="DD29"/>
      <c r="DE29"/>
      <c r="DF29"/>
      <c r="DO29"/>
      <c r="DP29"/>
      <c r="DQ29"/>
      <c r="DR29"/>
      <c r="DS29"/>
      <c r="DT29"/>
      <c r="DU29"/>
      <c r="DV29"/>
      <c r="DW29"/>
      <c r="DX29"/>
      <c r="DY29"/>
      <c r="DZ29"/>
      <c r="EA29"/>
      <c r="EB29"/>
      <c r="EC29"/>
      <c r="ED29"/>
      <c r="EE29"/>
      <c r="EF29"/>
      <c r="EG29"/>
      <c r="EH29"/>
      <c r="EI29"/>
      <c r="FA29"/>
      <c r="FB29"/>
      <c r="FC29"/>
      <c r="FD29"/>
      <c r="FE29"/>
      <c r="FF29"/>
      <c r="FG29"/>
      <c r="FH29"/>
    </row>
    <row r="30" spans="1:164" ht="16" x14ac:dyDescent="0.2">
      <c r="A30" t="s">
        <v>185</v>
      </c>
      <c r="B30" t="s">
        <v>266</v>
      </c>
      <c r="C30" t="s">
        <v>267</v>
      </c>
      <c r="D30" s="1" t="s">
        <v>73</v>
      </c>
      <c r="E30" t="s">
        <v>72</v>
      </c>
      <c r="F30" t="s">
        <v>72</v>
      </c>
      <c r="G30" s="1" t="s">
        <v>73</v>
      </c>
      <c r="H30" s="1"/>
      <c r="I30" s="1">
        <v>4</v>
      </c>
      <c r="N30" s="1">
        <v>4</v>
      </c>
      <c r="O30" s="1"/>
      <c r="P30" s="1"/>
      <c r="Q30">
        <v>0</v>
      </c>
      <c r="R30">
        <v>0</v>
      </c>
      <c r="S30">
        <v>0</v>
      </c>
      <c r="T30">
        <v>0</v>
      </c>
      <c r="U30" t="s">
        <v>73</v>
      </c>
      <c r="V30">
        <v>0</v>
      </c>
      <c r="W30" s="1">
        <v>0</v>
      </c>
      <c r="X30">
        <v>2</v>
      </c>
      <c r="Y30" s="1">
        <v>2</v>
      </c>
      <c r="Z30">
        <v>0</v>
      </c>
      <c r="AA30" s="1">
        <v>0</v>
      </c>
      <c r="AB30" s="1">
        <v>0</v>
      </c>
      <c r="AC30" t="s">
        <v>73</v>
      </c>
      <c r="AD30" s="1">
        <v>6</v>
      </c>
      <c r="AE30" s="1">
        <v>6</v>
      </c>
      <c r="AF30" s="1">
        <v>0</v>
      </c>
      <c r="AG30" s="1">
        <v>6</v>
      </c>
      <c r="AH30">
        <v>0</v>
      </c>
      <c r="AI30" s="1">
        <v>25</v>
      </c>
      <c r="AJ30" s="1">
        <v>0</v>
      </c>
      <c r="AK30" s="1" t="s">
        <v>73</v>
      </c>
      <c r="AL30" s="1" t="s">
        <v>73</v>
      </c>
      <c r="AM30" s="63" t="s">
        <v>73</v>
      </c>
      <c r="AN30" s="1">
        <v>2070</v>
      </c>
      <c r="AO30" s="84">
        <v>46005.923032407409</v>
      </c>
      <c r="AP30" s="56">
        <v>46005.881365740737</v>
      </c>
      <c r="AQ30" s="1" t="s">
        <v>73</v>
      </c>
      <c r="AR30" s="1" t="s">
        <v>73</v>
      </c>
      <c r="AS30" s="1" t="s">
        <v>73</v>
      </c>
      <c r="AT30" s="1" t="s">
        <v>73</v>
      </c>
      <c r="AU30" s="1" t="s">
        <v>73</v>
      </c>
      <c r="AV30" s="1" t="s">
        <v>73</v>
      </c>
      <c r="AW30" s="1">
        <v>0</v>
      </c>
      <c r="AX30" t="s">
        <v>73</v>
      </c>
      <c r="AY30" s="1" t="s">
        <v>158</v>
      </c>
      <c r="AZ30" s="1" t="s">
        <v>158</v>
      </c>
      <c r="BA30" s="1" t="s">
        <v>158</v>
      </c>
      <c r="BB30" s="1"/>
      <c r="BD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4"/>
      <c r="CH30" s="4"/>
      <c r="CI30" s="1"/>
      <c r="CJ30" s="1"/>
      <c r="CK30" s="1"/>
      <c r="CL30" s="1"/>
      <c r="CM30" s="42"/>
      <c r="CN30" s="1"/>
      <c r="CO30" s="1"/>
      <c r="CT30"/>
      <c r="CU30"/>
      <c r="CV30"/>
      <c r="CW30"/>
      <c r="CX30"/>
      <c r="CY30"/>
      <c r="CZ30"/>
      <c r="DA30"/>
      <c r="DB30"/>
      <c r="DC30"/>
      <c r="DD30"/>
      <c r="DE30"/>
      <c r="DF30"/>
      <c r="DO30"/>
      <c r="DP30"/>
      <c r="DQ30"/>
      <c r="DR30"/>
      <c r="DS30"/>
      <c r="DT30"/>
      <c r="DU30"/>
      <c r="DV30"/>
      <c r="DW30"/>
      <c r="DX30"/>
      <c r="DY30"/>
      <c r="DZ30"/>
      <c r="EA30"/>
      <c r="EB30"/>
      <c r="EC30"/>
      <c r="ED30"/>
      <c r="EE30"/>
      <c r="EF30"/>
      <c r="EG30"/>
      <c r="EH30"/>
      <c r="EI30"/>
      <c r="FA30"/>
      <c r="FB30"/>
      <c r="FC30"/>
      <c r="FD30"/>
      <c r="FE30"/>
      <c r="FF30"/>
      <c r="FG30"/>
      <c r="FH30"/>
    </row>
    <row r="31" spans="1:164" ht="16" x14ac:dyDescent="0.2">
      <c r="A31" t="s">
        <v>185</v>
      </c>
      <c r="B31" t="s">
        <v>248</v>
      </c>
      <c r="C31" t="s">
        <v>249</v>
      </c>
      <c r="D31" s="1" t="s">
        <v>73</v>
      </c>
      <c r="E31" t="s">
        <v>72</v>
      </c>
      <c r="F31" t="s">
        <v>72</v>
      </c>
      <c r="G31" s="1" t="s">
        <v>73</v>
      </c>
      <c r="H31" s="1"/>
      <c r="I31" s="1"/>
      <c r="L31">
        <v>7</v>
      </c>
      <c r="N31" s="1"/>
      <c r="O31" s="1"/>
      <c r="P31" s="1"/>
      <c r="Q31">
        <v>7</v>
      </c>
      <c r="R31">
        <v>0</v>
      </c>
      <c r="S31">
        <v>1</v>
      </c>
      <c r="T31">
        <v>6</v>
      </c>
      <c r="U31" t="s">
        <v>72</v>
      </c>
      <c r="V31">
        <v>0</v>
      </c>
      <c r="W31" s="1">
        <v>0</v>
      </c>
      <c r="X31">
        <v>0</v>
      </c>
      <c r="Y31" s="1">
        <v>0</v>
      </c>
      <c r="Z31">
        <v>0</v>
      </c>
      <c r="AA31" s="1">
        <v>0</v>
      </c>
      <c r="AB31" s="1">
        <v>0</v>
      </c>
      <c r="AC31" t="s">
        <v>73</v>
      </c>
      <c r="AD31" s="1">
        <v>0</v>
      </c>
      <c r="AE31" s="1">
        <v>0</v>
      </c>
      <c r="AF31" s="1">
        <v>0</v>
      </c>
      <c r="AG31" s="1">
        <v>0</v>
      </c>
      <c r="AH31">
        <v>4</v>
      </c>
      <c r="AI31" s="1">
        <v>46</v>
      </c>
      <c r="AJ31" s="1">
        <v>46</v>
      </c>
      <c r="AK31" s="1" t="s">
        <v>73</v>
      </c>
      <c r="AL31" s="1" t="s">
        <v>73</v>
      </c>
      <c r="AM31" s="63" t="s">
        <v>73</v>
      </c>
      <c r="AN31" s="1">
        <v>2064</v>
      </c>
      <c r="AO31" s="84">
        <v>46005.578136574077</v>
      </c>
      <c r="AP31" s="56">
        <v>46005.536469907405</v>
      </c>
      <c r="AQ31" s="1" t="s">
        <v>249</v>
      </c>
      <c r="AR31" s="1" t="s">
        <v>78</v>
      </c>
      <c r="AS31" s="1" t="s">
        <v>254</v>
      </c>
      <c r="AT31" s="1" t="s">
        <v>219</v>
      </c>
      <c r="AU31" s="1" t="s">
        <v>255</v>
      </c>
      <c r="AV31" s="1" t="s">
        <v>255</v>
      </c>
      <c r="AW31" s="1">
        <v>27</v>
      </c>
      <c r="AX31" t="s">
        <v>73</v>
      </c>
      <c r="AY31" s="1" t="s">
        <v>158</v>
      </c>
      <c r="AZ31" s="1" t="s">
        <v>158</v>
      </c>
      <c r="BA31" s="1" t="s">
        <v>158</v>
      </c>
      <c r="BB31" s="1"/>
      <c r="BD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4"/>
      <c r="CH31" s="4"/>
      <c r="CI31" s="1"/>
      <c r="CJ31" s="1"/>
      <c r="CK31" s="1"/>
      <c r="CL31" s="1"/>
      <c r="CM31" s="42"/>
      <c r="CN31" s="1"/>
      <c r="CO31" s="1"/>
      <c r="CT31"/>
      <c r="CU31"/>
      <c r="CV31"/>
      <c r="CW31"/>
      <c r="CX31"/>
      <c r="CY31"/>
      <c r="CZ31"/>
      <c r="DA31"/>
      <c r="DB31"/>
      <c r="DC31"/>
      <c r="DD31"/>
      <c r="DE31"/>
      <c r="DF31"/>
      <c r="DO31"/>
      <c r="DP31"/>
      <c r="DQ31"/>
      <c r="DR31"/>
      <c r="DS31"/>
      <c r="DT31"/>
      <c r="DU31"/>
      <c r="DV31"/>
      <c r="DW31"/>
      <c r="DX31"/>
      <c r="DY31"/>
      <c r="DZ31"/>
      <c r="EA31"/>
      <c r="EB31"/>
      <c r="EC31"/>
      <c r="ED31"/>
      <c r="EE31"/>
      <c r="EF31"/>
      <c r="EG31"/>
      <c r="EH31"/>
      <c r="EI31"/>
      <c r="FA31"/>
      <c r="FB31"/>
      <c r="FC31"/>
      <c r="FD31"/>
      <c r="FE31"/>
      <c r="FF31"/>
      <c r="FG31"/>
      <c r="FH31"/>
    </row>
    <row r="32" spans="1:164" ht="16" x14ac:dyDescent="0.2">
      <c r="A32" t="s">
        <v>185</v>
      </c>
      <c r="B32" t="s">
        <v>251</v>
      </c>
      <c r="C32" t="s">
        <v>252</v>
      </c>
      <c r="D32" s="1" t="s">
        <v>73</v>
      </c>
      <c r="E32" t="s">
        <v>72</v>
      </c>
      <c r="F32" t="s">
        <v>73</v>
      </c>
      <c r="G32" s="1" t="s">
        <v>73</v>
      </c>
      <c r="H32" s="1"/>
      <c r="I32" s="1">
        <v>8</v>
      </c>
      <c r="N32" s="1"/>
      <c r="O32" s="1"/>
      <c r="P32" s="1"/>
      <c r="Q32">
        <v>1</v>
      </c>
      <c r="R32">
        <v>1</v>
      </c>
      <c r="S32">
        <v>0</v>
      </c>
      <c r="T32">
        <v>0</v>
      </c>
      <c r="U32" t="s">
        <v>72</v>
      </c>
      <c r="V32">
        <v>0</v>
      </c>
      <c r="W32" s="1">
        <v>0</v>
      </c>
      <c r="X32">
        <v>0</v>
      </c>
      <c r="Y32" s="1">
        <v>0</v>
      </c>
      <c r="Z32">
        <v>0</v>
      </c>
      <c r="AA32" s="1">
        <v>0</v>
      </c>
      <c r="AB32" s="1">
        <v>0</v>
      </c>
      <c r="AC32" t="s">
        <v>72</v>
      </c>
      <c r="AD32" s="1">
        <v>6</v>
      </c>
      <c r="AE32" s="1">
        <v>6</v>
      </c>
      <c r="AF32" s="1">
        <v>0</v>
      </c>
      <c r="AG32" s="1">
        <v>6</v>
      </c>
      <c r="AH32">
        <v>0</v>
      </c>
      <c r="AI32" s="1">
        <v>90</v>
      </c>
      <c r="AJ32" s="1">
        <v>0</v>
      </c>
      <c r="AK32" s="1" t="s">
        <v>73</v>
      </c>
      <c r="AL32" s="1" t="s">
        <v>73</v>
      </c>
      <c r="AM32" s="63" t="s">
        <v>73</v>
      </c>
      <c r="AN32" s="1">
        <v>2062</v>
      </c>
      <c r="AO32" s="84">
        <v>46005.561099537037</v>
      </c>
      <c r="AP32" s="56">
        <v>46005.519432870373</v>
      </c>
      <c r="AQ32" s="1" t="s">
        <v>256</v>
      </c>
      <c r="AR32" s="1" t="s">
        <v>78</v>
      </c>
      <c r="AS32" s="1" t="s">
        <v>254</v>
      </c>
      <c r="AT32" s="1" t="s">
        <v>219</v>
      </c>
      <c r="AU32" s="1" t="s">
        <v>257</v>
      </c>
      <c r="AV32" s="1" t="s">
        <v>257</v>
      </c>
      <c r="AW32" s="1">
        <v>58</v>
      </c>
      <c r="AX32" t="s">
        <v>73</v>
      </c>
      <c r="AY32" s="1" t="s">
        <v>158</v>
      </c>
      <c r="AZ32" s="1" t="s">
        <v>158</v>
      </c>
      <c r="BA32" s="1" t="s">
        <v>158</v>
      </c>
      <c r="BB32" s="1"/>
      <c r="BD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4"/>
      <c r="CH32" s="4"/>
      <c r="CI32" s="1"/>
      <c r="CJ32" s="1"/>
      <c r="CK32" s="1"/>
      <c r="CL32" s="1"/>
      <c r="CM32" s="42"/>
      <c r="CN32" s="1"/>
      <c r="CO32" s="1"/>
      <c r="CT32"/>
      <c r="CU32"/>
      <c r="CV32"/>
      <c r="CW32"/>
      <c r="CX32"/>
      <c r="CY32"/>
      <c r="CZ32"/>
      <c r="DA32"/>
      <c r="DB32"/>
      <c r="DC32"/>
      <c r="DD32"/>
      <c r="DE32"/>
      <c r="DF32"/>
      <c r="DO32"/>
      <c r="DP32"/>
      <c r="DQ32"/>
      <c r="DR32"/>
      <c r="DS32"/>
      <c r="DT32"/>
      <c r="DU32"/>
      <c r="DV32"/>
      <c r="DW32"/>
      <c r="DX32"/>
      <c r="DY32"/>
      <c r="DZ32"/>
      <c r="EA32"/>
      <c r="EB32"/>
      <c r="EC32"/>
      <c r="ED32"/>
      <c r="EE32"/>
      <c r="EF32"/>
      <c r="EG32"/>
      <c r="EH32"/>
      <c r="EI32"/>
      <c r="FA32"/>
      <c r="FB32"/>
      <c r="FC32"/>
      <c r="FD32"/>
      <c r="FE32"/>
      <c r="FF32"/>
      <c r="FG32"/>
      <c r="FH32"/>
    </row>
    <row r="33" spans="1:164" ht="16" x14ac:dyDescent="0.2">
      <c r="A33" t="s">
        <v>185</v>
      </c>
      <c r="B33" t="s">
        <v>203</v>
      </c>
      <c r="C33" t="s">
        <v>204</v>
      </c>
      <c r="D33" s="1" t="s">
        <v>73</v>
      </c>
      <c r="E33" t="s">
        <v>72</v>
      </c>
      <c r="F33" t="s">
        <v>72</v>
      </c>
      <c r="G33" s="1" t="s">
        <v>72</v>
      </c>
      <c r="H33" s="1" t="s">
        <v>72</v>
      </c>
      <c r="I33" s="1"/>
      <c r="N33" s="1"/>
      <c r="O33" s="1"/>
      <c r="P33" s="1"/>
      <c r="Q33">
        <v>0</v>
      </c>
      <c r="R33">
        <v>0</v>
      </c>
      <c r="S33">
        <v>0</v>
      </c>
      <c r="T33">
        <v>0</v>
      </c>
      <c r="U33" t="s">
        <v>73</v>
      </c>
      <c r="V33">
        <v>3</v>
      </c>
      <c r="W33" s="1">
        <v>14</v>
      </c>
      <c r="X33">
        <v>6</v>
      </c>
      <c r="Y33" s="1">
        <v>6</v>
      </c>
      <c r="Z33">
        <v>0</v>
      </c>
      <c r="AA33" s="1">
        <v>0</v>
      </c>
      <c r="AB33" s="1">
        <v>0</v>
      </c>
      <c r="AC33" t="s">
        <v>72</v>
      </c>
      <c r="AD33" s="1">
        <v>6</v>
      </c>
      <c r="AE33" s="1">
        <v>6</v>
      </c>
      <c r="AF33" s="1">
        <v>0</v>
      </c>
      <c r="AG33" s="1">
        <v>6</v>
      </c>
      <c r="AH33">
        <v>1</v>
      </c>
      <c r="AI33" s="1">
        <v>70</v>
      </c>
      <c r="AJ33" s="1">
        <v>10</v>
      </c>
      <c r="AK33" s="1" t="s">
        <v>73</v>
      </c>
      <c r="AL33" s="1" t="s">
        <v>73</v>
      </c>
      <c r="AM33" s="63" t="s">
        <v>73</v>
      </c>
      <c r="AN33" s="1">
        <v>2059</v>
      </c>
      <c r="AO33" s="84">
        <v>46004.61959490741</v>
      </c>
      <c r="AP33" s="56">
        <v>46004.577928240738</v>
      </c>
      <c r="AQ33" s="1" t="s">
        <v>73</v>
      </c>
      <c r="AR33" s="1" t="s">
        <v>73</v>
      </c>
      <c r="AS33" s="1" t="s">
        <v>73</v>
      </c>
      <c r="AT33" s="1" t="s">
        <v>73</v>
      </c>
      <c r="AU33" s="1" t="s">
        <v>73</v>
      </c>
      <c r="AV33" s="1" t="s">
        <v>73</v>
      </c>
      <c r="AW33" s="1">
        <v>0</v>
      </c>
      <c r="AX33" t="s">
        <v>75</v>
      </c>
      <c r="AY33" s="1" t="s">
        <v>244</v>
      </c>
      <c r="AZ33" s="1" t="s">
        <v>245</v>
      </c>
      <c r="BA33" s="1" t="s">
        <v>246</v>
      </c>
      <c r="BB33" s="1"/>
      <c r="BD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4"/>
      <c r="CH33" s="4"/>
      <c r="CI33" s="1"/>
      <c r="CJ33" s="1"/>
      <c r="CK33" s="1"/>
      <c r="CL33" s="1"/>
      <c r="CM33" s="42"/>
      <c r="CN33" s="1"/>
      <c r="CO33" s="1"/>
      <c r="CT33"/>
      <c r="CU33"/>
      <c r="CV33"/>
      <c r="CW33"/>
      <c r="CX33"/>
      <c r="CY33"/>
      <c r="CZ33"/>
      <c r="DA33"/>
      <c r="DB33"/>
      <c r="DC33"/>
      <c r="DD33"/>
      <c r="DE33"/>
      <c r="DF33"/>
      <c r="DO33"/>
      <c r="DP33"/>
      <c r="DQ33"/>
      <c r="DR33"/>
      <c r="DS33"/>
      <c r="DT33"/>
      <c r="DU33"/>
      <c r="DV33"/>
      <c r="DW33"/>
      <c r="DX33"/>
      <c r="DY33"/>
      <c r="DZ33"/>
      <c r="EA33"/>
      <c r="EB33"/>
      <c r="EC33"/>
      <c r="ED33"/>
      <c r="EE33"/>
      <c r="EF33"/>
      <c r="EG33"/>
      <c r="EH33"/>
      <c r="EI33"/>
      <c r="FA33"/>
      <c r="FB33"/>
      <c r="FC33"/>
      <c r="FD33"/>
      <c r="FE33"/>
      <c r="FF33"/>
      <c r="FG33"/>
      <c r="FH33"/>
    </row>
    <row r="34" spans="1:164" ht="16" x14ac:dyDescent="0.2">
      <c r="A34" t="s">
        <v>185</v>
      </c>
      <c r="B34" t="s">
        <v>232</v>
      </c>
      <c r="C34" t="s">
        <v>233</v>
      </c>
      <c r="D34" s="1" t="s">
        <v>73</v>
      </c>
      <c r="E34" t="s">
        <v>72</v>
      </c>
      <c r="F34" t="s">
        <v>73</v>
      </c>
      <c r="G34" s="1" t="s">
        <v>72</v>
      </c>
      <c r="H34" s="1" t="s">
        <v>72</v>
      </c>
      <c r="I34" s="1">
        <v>6</v>
      </c>
      <c r="N34" s="1"/>
      <c r="O34" s="1"/>
      <c r="P34" s="1"/>
      <c r="Q34">
        <v>0</v>
      </c>
      <c r="R34">
        <v>0</v>
      </c>
      <c r="S34">
        <v>0</v>
      </c>
      <c r="T34">
        <v>0</v>
      </c>
      <c r="U34" t="s">
        <v>73</v>
      </c>
      <c r="V34">
        <v>5</v>
      </c>
      <c r="W34" s="1">
        <v>9</v>
      </c>
      <c r="X34">
        <v>2</v>
      </c>
      <c r="Y34" s="1">
        <v>2</v>
      </c>
      <c r="Z34">
        <v>0</v>
      </c>
      <c r="AA34" s="1">
        <v>0</v>
      </c>
      <c r="AB34" s="1">
        <v>0</v>
      </c>
      <c r="AC34" t="s">
        <v>73</v>
      </c>
      <c r="AD34" s="1">
        <v>0</v>
      </c>
      <c r="AE34" s="1">
        <v>0</v>
      </c>
      <c r="AF34" s="1">
        <v>0</v>
      </c>
      <c r="AG34" s="1">
        <v>0</v>
      </c>
      <c r="AH34">
        <v>0</v>
      </c>
      <c r="AI34" s="1">
        <v>60</v>
      </c>
      <c r="AJ34" s="1">
        <v>15</v>
      </c>
      <c r="AK34" s="1" t="s">
        <v>72</v>
      </c>
      <c r="AL34" s="1" t="s">
        <v>73</v>
      </c>
      <c r="AM34" s="63" t="s">
        <v>73</v>
      </c>
      <c r="AN34" s="1">
        <v>2055</v>
      </c>
      <c r="AO34" s="84">
        <v>46003.902245370373</v>
      </c>
      <c r="AP34" s="56">
        <v>46044.747685185182</v>
      </c>
      <c r="AQ34" s="1" t="s">
        <v>73</v>
      </c>
      <c r="AR34" s="1" t="s">
        <v>73</v>
      </c>
      <c r="AS34" s="1" t="s">
        <v>73</v>
      </c>
      <c r="AT34" s="1" t="s">
        <v>73</v>
      </c>
      <c r="AU34" s="1" t="s">
        <v>73</v>
      </c>
      <c r="AV34" s="1" t="s">
        <v>73</v>
      </c>
      <c r="AW34" s="1">
        <v>0</v>
      </c>
      <c r="AX34" t="s">
        <v>75</v>
      </c>
      <c r="AY34" s="1" t="s">
        <v>235</v>
      </c>
      <c r="AZ34" s="1" t="s">
        <v>214</v>
      </c>
      <c r="BA34" s="1" t="s">
        <v>236</v>
      </c>
      <c r="BB34" s="1"/>
      <c r="BD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4"/>
      <c r="CH34" s="4"/>
      <c r="CI34" s="1"/>
      <c r="CJ34" s="1"/>
      <c r="CK34" s="1"/>
      <c r="CL34" s="1"/>
      <c r="CM34" s="42"/>
      <c r="CN34" s="1"/>
      <c r="CO34" s="1"/>
      <c r="CT34"/>
      <c r="CU34"/>
      <c r="CV34"/>
      <c r="CW34"/>
      <c r="CX34"/>
      <c r="CY34"/>
      <c r="CZ34"/>
      <c r="DA34"/>
      <c r="DB34"/>
      <c r="DC34"/>
      <c r="DD34"/>
      <c r="DE34"/>
      <c r="DF34"/>
      <c r="DO34"/>
      <c r="DP34"/>
      <c r="DQ34"/>
      <c r="DR34"/>
      <c r="DS34"/>
      <c r="DT34"/>
      <c r="DU34"/>
      <c r="DV34"/>
      <c r="DW34"/>
      <c r="DX34"/>
      <c r="DY34"/>
      <c r="DZ34"/>
      <c r="EA34"/>
      <c r="EB34"/>
      <c r="EC34"/>
      <c r="ED34"/>
      <c r="EE34"/>
      <c r="EF34"/>
      <c r="EG34"/>
      <c r="EH34"/>
      <c r="EI34"/>
      <c r="FA34"/>
      <c r="FB34"/>
      <c r="FC34"/>
      <c r="FD34"/>
      <c r="FE34"/>
      <c r="FF34"/>
      <c r="FG34"/>
      <c r="FH34"/>
    </row>
    <row r="35" spans="1:164" ht="16" x14ac:dyDescent="0.2">
      <c r="A35" t="s">
        <v>185</v>
      </c>
      <c r="B35" t="s">
        <v>224</v>
      </c>
      <c r="C35" t="s">
        <v>225</v>
      </c>
      <c r="D35" s="1" t="s">
        <v>73</v>
      </c>
      <c r="E35" t="s">
        <v>72</v>
      </c>
      <c r="F35" t="s">
        <v>72</v>
      </c>
      <c r="G35" s="1" t="s">
        <v>73</v>
      </c>
      <c r="H35" s="1"/>
      <c r="I35" s="1">
        <v>14</v>
      </c>
      <c r="J35">
        <v>4</v>
      </c>
      <c r="L35">
        <v>2</v>
      </c>
      <c r="N35" s="1">
        <v>4</v>
      </c>
      <c r="O35" s="1">
        <v>3</v>
      </c>
      <c r="P35" s="1"/>
      <c r="Q35">
        <v>6</v>
      </c>
      <c r="R35">
        <v>3</v>
      </c>
      <c r="S35">
        <v>3</v>
      </c>
      <c r="T35">
        <v>0</v>
      </c>
      <c r="U35" t="s">
        <v>73</v>
      </c>
      <c r="V35">
        <v>0</v>
      </c>
      <c r="W35" s="1">
        <v>0</v>
      </c>
      <c r="X35">
        <v>4</v>
      </c>
      <c r="Y35" s="1">
        <v>1</v>
      </c>
      <c r="Z35">
        <v>3</v>
      </c>
      <c r="AA35" s="1">
        <v>0</v>
      </c>
      <c r="AB35" s="1">
        <v>0</v>
      </c>
      <c r="AC35" t="s">
        <v>73</v>
      </c>
      <c r="AD35" s="1">
        <v>4</v>
      </c>
      <c r="AE35" s="1">
        <v>4</v>
      </c>
      <c r="AF35" s="1">
        <v>0</v>
      </c>
      <c r="AG35" s="1">
        <v>0</v>
      </c>
      <c r="AH35">
        <v>1</v>
      </c>
      <c r="AI35" s="1">
        <v>66</v>
      </c>
      <c r="AJ35" s="1">
        <v>8</v>
      </c>
      <c r="AK35" s="1" t="s">
        <v>72</v>
      </c>
      <c r="AL35" s="1" t="s">
        <v>73</v>
      </c>
      <c r="AM35" s="63" t="s">
        <v>73</v>
      </c>
      <c r="AN35" s="1">
        <v>2052</v>
      </c>
      <c r="AO35" s="84">
        <v>46003.7893287037</v>
      </c>
      <c r="AP35" s="56">
        <v>46044.748067129629</v>
      </c>
      <c r="AQ35" s="1" t="s">
        <v>73</v>
      </c>
      <c r="AR35" s="1" t="s">
        <v>73</v>
      </c>
      <c r="AS35" s="1" t="s">
        <v>73</v>
      </c>
      <c r="AT35" s="1" t="s">
        <v>73</v>
      </c>
      <c r="AU35" s="1" t="s">
        <v>73</v>
      </c>
      <c r="AV35" s="1" t="s">
        <v>73</v>
      </c>
      <c r="AW35" s="1">
        <v>0</v>
      </c>
      <c r="AX35" t="s">
        <v>73</v>
      </c>
      <c r="AY35" s="1" t="s">
        <v>158</v>
      </c>
      <c r="AZ35" s="1" t="s">
        <v>158</v>
      </c>
      <c r="BA35" s="1" t="s">
        <v>158</v>
      </c>
      <c r="BB35" s="1"/>
      <c r="BD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4"/>
      <c r="CH35" s="4"/>
      <c r="CI35" s="1"/>
      <c r="CJ35" s="1"/>
      <c r="CK35" s="1"/>
      <c r="CL35" s="1"/>
      <c r="CM35" s="42"/>
      <c r="CN35" s="1"/>
      <c r="CO35" s="1"/>
      <c r="CT35"/>
      <c r="CU35"/>
      <c r="CV35"/>
      <c r="CW35"/>
      <c r="CX35"/>
      <c r="CY35"/>
      <c r="CZ35"/>
      <c r="DA35"/>
      <c r="DB35"/>
      <c r="DC35"/>
      <c r="DD35"/>
      <c r="DE35"/>
      <c r="DF35"/>
      <c r="DO35"/>
      <c r="DP35"/>
      <c r="DQ35"/>
      <c r="DR35"/>
      <c r="DS35"/>
      <c r="DT35"/>
      <c r="DU35"/>
      <c r="DV35"/>
      <c r="DW35"/>
      <c r="DX35"/>
      <c r="DY35"/>
      <c r="DZ35"/>
      <c r="EA35"/>
      <c r="EB35"/>
      <c r="EC35"/>
      <c r="ED35"/>
      <c r="EE35"/>
      <c r="EF35"/>
      <c r="EG35"/>
      <c r="EH35"/>
      <c r="EI35"/>
      <c r="FA35"/>
      <c r="FB35"/>
      <c r="FC35"/>
      <c r="FD35"/>
      <c r="FE35"/>
      <c r="FF35"/>
      <c r="FG35"/>
      <c r="FH35"/>
    </row>
    <row r="36" spans="1:164" ht="16" x14ac:dyDescent="0.2">
      <c r="A36" t="s">
        <v>185</v>
      </c>
      <c r="B36" t="s">
        <v>216</v>
      </c>
      <c r="C36" t="s">
        <v>217</v>
      </c>
      <c r="D36" s="1" t="s">
        <v>73</v>
      </c>
      <c r="E36" t="s">
        <v>72</v>
      </c>
      <c r="F36" t="s">
        <v>73</v>
      </c>
      <c r="G36" s="1" t="s">
        <v>73</v>
      </c>
      <c r="H36" s="1"/>
      <c r="I36" s="1">
        <v>9</v>
      </c>
      <c r="L36">
        <v>3</v>
      </c>
      <c r="N36" s="1"/>
      <c r="O36" s="1"/>
      <c r="P36" s="1"/>
      <c r="Q36">
        <v>0</v>
      </c>
      <c r="R36">
        <v>0</v>
      </c>
      <c r="S36">
        <v>0</v>
      </c>
      <c r="T36">
        <v>0</v>
      </c>
      <c r="U36" t="s">
        <v>73</v>
      </c>
      <c r="V36">
        <v>0</v>
      </c>
      <c r="W36" s="1">
        <v>0</v>
      </c>
      <c r="X36">
        <v>4</v>
      </c>
      <c r="Y36" s="1">
        <v>2</v>
      </c>
      <c r="Z36">
        <v>1</v>
      </c>
      <c r="AA36" s="1">
        <v>0</v>
      </c>
      <c r="AB36" s="1">
        <v>1</v>
      </c>
      <c r="AC36" t="s">
        <v>72</v>
      </c>
      <c r="AD36" s="1">
        <v>3</v>
      </c>
      <c r="AE36" s="1">
        <v>3</v>
      </c>
      <c r="AF36" s="1">
        <v>0</v>
      </c>
      <c r="AG36" s="1">
        <v>3</v>
      </c>
      <c r="AH36">
        <v>0</v>
      </c>
      <c r="AI36" s="1">
        <v>77</v>
      </c>
      <c r="AJ36" s="1">
        <v>12</v>
      </c>
      <c r="AK36" s="1" t="s">
        <v>73</v>
      </c>
      <c r="AL36" s="1" t="s">
        <v>73</v>
      </c>
      <c r="AM36" s="63" t="s">
        <v>73</v>
      </c>
      <c r="AN36" s="1">
        <v>2046</v>
      </c>
      <c r="AO36" s="84">
        <v>46003.556469907409</v>
      </c>
      <c r="AP36" s="56">
        <v>46044.748379629629</v>
      </c>
      <c r="AQ36" s="1" t="s">
        <v>73</v>
      </c>
      <c r="AR36" s="1" t="s">
        <v>73</v>
      </c>
      <c r="AS36" s="1" t="s">
        <v>73</v>
      </c>
      <c r="AT36" s="1" t="s">
        <v>73</v>
      </c>
      <c r="AU36" s="1" t="s">
        <v>73</v>
      </c>
      <c r="AV36" s="1" t="s">
        <v>73</v>
      </c>
      <c r="AW36" s="1">
        <v>0</v>
      </c>
      <c r="AX36" t="s">
        <v>73</v>
      </c>
      <c r="AY36" s="1" t="s">
        <v>158</v>
      </c>
      <c r="AZ36" s="1" t="s">
        <v>158</v>
      </c>
      <c r="BA36" s="1" t="s">
        <v>158</v>
      </c>
      <c r="BB36" s="1"/>
      <c r="BD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4"/>
      <c r="CH36" s="4"/>
      <c r="CI36" s="1"/>
      <c r="CJ36" s="1"/>
      <c r="CK36" s="1"/>
      <c r="CL36" s="1"/>
      <c r="CM36" s="42"/>
      <c r="CN36" s="1"/>
      <c r="CO36" s="1"/>
      <c r="CT36"/>
      <c r="CU36"/>
      <c r="CV36"/>
      <c r="CW36"/>
      <c r="CX36"/>
      <c r="CY36"/>
      <c r="CZ36"/>
      <c r="DA36"/>
      <c r="DB36"/>
      <c r="DC36"/>
      <c r="DD36"/>
      <c r="DE36"/>
      <c r="DF36"/>
      <c r="DO36"/>
      <c r="DP36"/>
      <c r="DQ36"/>
      <c r="DR36"/>
      <c r="DS36"/>
      <c r="DT36"/>
      <c r="DU36"/>
      <c r="DV36"/>
      <c r="DW36"/>
      <c r="DX36"/>
      <c r="DY36"/>
      <c r="DZ36"/>
      <c r="EA36"/>
      <c r="EB36"/>
      <c r="EC36"/>
      <c r="ED36"/>
      <c r="EE36"/>
      <c r="EF36"/>
      <c r="EG36"/>
      <c r="EH36"/>
      <c r="EI36"/>
      <c r="FA36"/>
      <c r="FB36"/>
      <c r="FC36"/>
      <c r="FD36"/>
      <c r="FE36"/>
      <c r="FF36"/>
      <c r="FG36"/>
      <c r="FH36"/>
    </row>
    <row r="37" spans="1:164" ht="16" x14ac:dyDescent="0.2">
      <c r="A37" t="s">
        <v>185</v>
      </c>
      <c r="B37" t="s">
        <v>209</v>
      </c>
      <c r="C37" t="s">
        <v>210</v>
      </c>
      <c r="D37" s="1" t="s">
        <v>73</v>
      </c>
      <c r="E37" t="s">
        <v>72</v>
      </c>
      <c r="F37" t="s">
        <v>72</v>
      </c>
      <c r="G37" s="1" t="s">
        <v>72</v>
      </c>
      <c r="H37" s="1" t="s">
        <v>72</v>
      </c>
      <c r="I37" s="1">
        <v>8</v>
      </c>
      <c r="J37">
        <v>4</v>
      </c>
      <c r="L37">
        <v>4</v>
      </c>
      <c r="N37" s="1">
        <v>4</v>
      </c>
      <c r="O37" s="1">
        <v>3</v>
      </c>
      <c r="P37" s="1"/>
      <c r="Q37">
        <v>4</v>
      </c>
      <c r="R37">
        <v>1</v>
      </c>
      <c r="S37">
        <v>3</v>
      </c>
      <c r="T37">
        <v>0</v>
      </c>
      <c r="U37" t="s">
        <v>73</v>
      </c>
      <c r="V37">
        <v>7</v>
      </c>
      <c r="W37" s="1">
        <v>20</v>
      </c>
      <c r="X37">
        <v>11</v>
      </c>
      <c r="Y37" s="1">
        <v>9</v>
      </c>
      <c r="Z37">
        <v>1</v>
      </c>
      <c r="AA37" s="1">
        <v>0</v>
      </c>
      <c r="AB37" s="1">
        <v>1</v>
      </c>
      <c r="AC37" t="s">
        <v>73</v>
      </c>
      <c r="AD37" s="1">
        <v>6</v>
      </c>
      <c r="AE37" s="1">
        <v>0</v>
      </c>
      <c r="AF37" s="1">
        <v>0</v>
      </c>
      <c r="AG37" s="1">
        <v>6</v>
      </c>
      <c r="AH37">
        <v>1</v>
      </c>
      <c r="AI37" s="1">
        <v>85</v>
      </c>
      <c r="AJ37" s="1">
        <v>27</v>
      </c>
      <c r="AK37" s="1" t="s">
        <v>72</v>
      </c>
      <c r="AL37" s="1" t="s">
        <v>73</v>
      </c>
      <c r="AM37" s="63" t="s">
        <v>73</v>
      </c>
      <c r="AN37" s="1">
        <v>2043</v>
      </c>
      <c r="AO37" s="84">
        <v>46002.965682870374</v>
      </c>
      <c r="AP37" s="56">
        <v>46018.817372685182</v>
      </c>
      <c r="AQ37" s="1" t="s">
        <v>73</v>
      </c>
      <c r="AR37" s="1" t="s">
        <v>73</v>
      </c>
      <c r="AS37" s="1" t="s">
        <v>73</v>
      </c>
      <c r="AT37" s="1" t="s">
        <v>73</v>
      </c>
      <c r="AU37" s="1" t="s">
        <v>73</v>
      </c>
      <c r="AV37" s="1" t="s">
        <v>73</v>
      </c>
      <c r="AW37" s="1">
        <v>0</v>
      </c>
      <c r="AX37" t="s">
        <v>75</v>
      </c>
      <c r="AY37" s="1" t="s">
        <v>418</v>
      </c>
      <c r="AZ37" s="1" t="s">
        <v>228</v>
      </c>
      <c r="BA37" s="1" t="s">
        <v>229</v>
      </c>
      <c r="BB37" s="1"/>
      <c r="BD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4"/>
      <c r="CH37" s="4"/>
      <c r="CI37" s="1"/>
      <c r="CJ37" s="1"/>
      <c r="CK37" s="1"/>
      <c r="CL37" s="1"/>
      <c r="CM37" s="42"/>
      <c r="CN37" s="1"/>
      <c r="CO37" s="1"/>
      <c r="CT37"/>
      <c r="CU37"/>
      <c r="CV37"/>
      <c r="CW37"/>
      <c r="CX37"/>
      <c r="CY37"/>
      <c r="CZ37"/>
      <c r="DA37"/>
      <c r="DB37"/>
      <c r="DC37"/>
      <c r="DD37"/>
      <c r="DE37"/>
      <c r="DF37"/>
      <c r="DO37"/>
      <c r="DP37"/>
      <c r="DQ37"/>
      <c r="DR37"/>
      <c r="DS37"/>
      <c r="DT37"/>
      <c r="DU37"/>
      <c r="DV37"/>
      <c r="DW37"/>
      <c r="DX37"/>
      <c r="DY37"/>
      <c r="DZ37"/>
      <c r="EA37"/>
      <c r="EB37"/>
      <c r="EC37"/>
      <c r="ED37"/>
      <c r="EE37"/>
      <c r="EF37"/>
      <c r="EG37"/>
      <c r="EH37"/>
      <c r="EI37"/>
      <c r="FA37"/>
      <c r="FB37"/>
      <c r="FC37"/>
      <c r="FD37"/>
      <c r="FE37"/>
      <c r="FF37"/>
      <c r="FG37"/>
      <c r="FH37"/>
    </row>
    <row r="38" spans="1:164" ht="16" x14ac:dyDescent="0.2">
      <c r="A38" t="s">
        <v>185</v>
      </c>
      <c r="B38" t="s">
        <v>188</v>
      </c>
      <c r="C38" t="s">
        <v>189</v>
      </c>
      <c r="D38" s="1" t="s">
        <v>73</v>
      </c>
      <c r="E38" t="s">
        <v>72</v>
      </c>
      <c r="F38" t="s">
        <v>73</v>
      </c>
      <c r="G38" s="1" t="s">
        <v>73</v>
      </c>
      <c r="H38" s="1"/>
      <c r="I38" s="1">
        <v>6</v>
      </c>
      <c r="N38" s="1"/>
      <c r="O38" s="1"/>
      <c r="P38" s="1"/>
      <c r="Q38">
        <v>0</v>
      </c>
      <c r="R38">
        <v>0</v>
      </c>
      <c r="S38">
        <v>0</v>
      </c>
      <c r="T38">
        <v>0</v>
      </c>
      <c r="U38" t="s">
        <v>73</v>
      </c>
      <c r="V38">
        <v>0</v>
      </c>
      <c r="W38" s="1">
        <v>0</v>
      </c>
      <c r="X38">
        <v>0</v>
      </c>
      <c r="Y38" s="1">
        <v>0</v>
      </c>
      <c r="Z38">
        <v>0</v>
      </c>
      <c r="AA38" s="1">
        <v>0</v>
      </c>
      <c r="AB38" s="1">
        <v>0</v>
      </c>
      <c r="AC38" t="s">
        <v>73</v>
      </c>
      <c r="AD38" s="1">
        <v>0</v>
      </c>
      <c r="AE38" s="1">
        <v>0</v>
      </c>
      <c r="AF38" s="1">
        <v>0</v>
      </c>
      <c r="AG38" s="1">
        <v>0</v>
      </c>
      <c r="AH38">
        <v>0</v>
      </c>
      <c r="AI38" s="1">
        <v>10</v>
      </c>
      <c r="AJ38" s="1">
        <v>0</v>
      </c>
      <c r="AK38" s="1" t="s">
        <v>73</v>
      </c>
      <c r="AL38" s="1" t="s">
        <v>73</v>
      </c>
      <c r="AM38" s="63" t="s">
        <v>73</v>
      </c>
      <c r="AN38" s="1">
        <v>2035</v>
      </c>
      <c r="AO38" s="84">
        <v>46000.698564814818</v>
      </c>
      <c r="AP38" s="56">
        <v>46000.656898148147</v>
      </c>
      <c r="AQ38" s="1" t="s">
        <v>73</v>
      </c>
      <c r="AR38" s="1" t="s">
        <v>73</v>
      </c>
      <c r="AS38" s="1" t="s">
        <v>73</v>
      </c>
      <c r="AT38" s="1" t="s">
        <v>73</v>
      </c>
      <c r="AU38" s="1" t="s">
        <v>73</v>
      </c>
      <c r="AV38" s="1" t="s">
        <v>73</v>
      </c>
      <c r="AW38" s="1">
        <v>0</v>
      </c>
      <c r="AX38" t="s">
        <v>73</v>
      </c>
      <c r="AY38" s="1" t="s">
        <v>158</v>
      </c>
      <c r="AZ38" s="1" t="s">
        <v>158</v>
      </c>
      <c r="BA38" s="1" t="s">
        <v>158</v>
      </c>
      <c r="BB38" s="1"/>
      <c r="BD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4"/>
      <c r="CH38" s="4"/>
      <c r="CI38" s="1"/>
      <c r="CJ38" s="1"/>
      <c r="CK38" s="1"/>
      <c r="CL38" s="1"/>
      <c r="CM38" s="42"/>
      <c r="CN38" s="1"/>
      <c r="CO38" s="1"/>
      <c r="CT38"/>
      <c r="CU38"/>
      <c r="CV38"/>
      <c r="CW38"/>
      <c r="CX38"/>
      <c r="CY38"/>
      <c r="CZ38"/>
      <c r="DA38"/>
      <c r="DB38"/>
      <c r="DC38"/>
      <c r="DD38"/>
      <c r="DE38"/>
      <c r="DF38"/>
      <c r="DO38"/>
      <c r="DP38"/>
      <c r="DQ38"/>
      <c r="DR38"/>
      <c r="DS38"/>
      <c r="DT38"/>
      <c r="DU38"/>
      <c r="DV38"/>
      <c r="DW38"/>
      <c r="DX38"/>
      <c r="DY38"/>
      <c r="DZ38"/>
      <c r="EA38"/>
      <c r="EB38"/>
      <c r="EC38"/>
      <c r="ED38"/>
      <c r="EE38"/>
      <c r="EF38"/>
      <c r="EG38"/>
      <c r="EH38"/>
      <c r="EI38"/>
      <c r="FA38"/>
      <c r="FB38"/>
      <c r="FC38"/>
      <c r="FD38"/>
      <c r="FE38"/>
      <c r="FF38"/>
      <c r="FG38"/>
      <c r="FH38"/>
    </row>
    <row r="39" spans="1:164" ht="16" x14ac:dyDescent="0.2">
      <c r="A39" t="s">
        <v>185</v>
      </c>
      <c r="B39" t="s">
        <v>192</v>
      </c>
      <c r="C39" t="s">
        <v>193</v>
      </c>
      <c r="D39" s="1" t="s">
        <v>73</v>
      </c>
      <c r="E39" t="s">
        <v>72</v>
      </c>
      <c r="F39" t="s">
        <v>72</v>
      </c>
      <c r="G39" s="1" t="s">
        <v>73</v>
      </c>
      <c r="H39" s="1"/>
      <c r="I39" s="1"/>
      <c r="J39">
        <v>8</v>
      </c>
      <c r="N39" s="1"/>
      <c r="O39" s="1"/>
      <c r="P39" s="1"/>
      <c r="Q39">
        <v>0</v>
      </c>
      <c r="R39">
        <v>0</v>
      </c>
      <c r="S39">
        <v>0</v>
      </c>
      <c r="T39">
        <v>0</v>
      </c>
      <c r="U39" t="s">
        <v>73</v>
      </c>
      <c r="V39">
        <v>0</v>
      </c>
      <c r="W39" s="1">
        <v>0</v>
      </c>
      <c r="X39">
        <v>0</v>
      </c>
      <c r="Y39" s="1">
        <v>0</v>
      </c>
      <c r="Z39">
        <v>0</v>
      </c>
      <c r="AA39" s="1">
        <v>0</v>
      </c>
      <c r="AB39" s="1">
        <v>0</v>
      </c>
      <c r="AC39" t="s">
        <v>73</v>
      </c>
      <c r="AD39" s="1">
        <v>4</v>
      </c>
      <c r="AE39" s="1">
        <v>0</v>
      </c>
      <c r="AF39" s="1">
        <v>0</v>
      </c>
      <c r="AG39" s="1">
        <v>0</v>
      </c>
      <c r="AH39">
        <v>0</v>
      </c>
      <c r="AI39" s="1">
        <v>20</v>
      </c>
      <c r="AJ39" s="1">
        <v>6</v>
      </c>
      <c r="AK39" s="1" t="s">
        <v>73</v>
      </c>
      <c r="AL39" s="1" t="s">
        <v>73</v>
      </c>
      <c r="AM39" s="63" t="s">
        <v>73</v>
      </c>
      <c r="AN39" s="1">
        <v>2033</v>
      </c>
      <c r="AO39" s="84">
        <v>45999.859965277778</v>
      </c>
      <c r="AP39" s="56">
        <v>45999.818298611113</v>
      </c>
      <c r="AQ39" s="1" t="s">
        <v>73</v>
      </c>
      <c r="AR39" s="1" t="s">
        <v>73</v>
      </c>
      <c r="AS39" s="1" t="s">
        <v>73</v>
      </c>
      <c r="AT39" s="1" t="s">
        <v>73</v>
      </c>
      <c r="AU39" s="1" t="s">
        <v>73</v>
      </c>
      <c r="AV39" s="1" t="s">
        <v>73</v>
      </c>
      <c r="AW39" s="1">
        <v>0</v>
      </c>
      <c r="AX39" t="s">
        <v>73</v>
      </c>
      <c r="AY39" s="1" t="s">
        <v>158</v>
      </c>
      <c r="AZ39" s="1" t="s">
        <v>158</v>
      </c>
      <c r="BA39" s="1" t="s">
        <v>158</v>
      </c>
      <c r="BC39"/>
      <c r="BE39"/>
      <c r="BI39"/>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4"/>
      <c r="CT39" s="4"/>
      <c r="CY39" s="42"/>
      <c r="DB39"/>
      <c r="DC39"/>
      <c r="DD39"/>
      <c r="DE39"/>
      <c r="DF39"/>
      <c r="DG39"/>
      <c r="DH39"/>
      <c r="DI39"/>
      <c r="DJ39"/>
      <c r="DK39"/>
      <c r="DL39"/>
      <c r="DM39"/>
      <c r="DN39"/>
      <c r="DO39"/>
      <c r="DP39"/>
      <c r="DQ39"/>
      <c r="DR39"/>
      <c r="EA39"/>
      <c r="EB39"/>
      <c r="EC39"/>
      <c r="ED39"/>
      <c r="EE39"/>
      <c r="EF39"/>
      <c r="EG39"/>
      <c r="EH39"/>
      <c r="EI39"/>
      <c r="FA39"/>
      <c r="FB39"/>
      <c r="FC39"/>
      <c r="FD39"/>
      <c r="FE39"/>
      <c r="FF39"/>
      <c r="FG39"/>
      <c r="FH39"/>
    </row>
    <row r="40" spans="1:164" ht="160" x14ac:dyDescent="0.2">
      <c r="A40" t="s">
        <v>185</v>
      </c>
      <c r="B40" t="s">
        <v>165</v>
      </c>
      <c r="C40" t="s">
        <v>166</v>
      </c>
      <c r="D40" s="1" t="s">
        <v>72</v>
      </c>
      <c r="E40" t="s">
        <v>73</v>
      </c>
      <c r="F40" t="s">
        <v>72</v>
      </c>
      <c r="G40" s="1" t="s">
        <v>73</v>
      </c>
      <c r="H40" s="1"/>
      <c r="I40" s="1">
        <v>4</v>
      </c>
      <c r="N40" s="1"/>
      <c r="O40" s="1"/>
      <c r="P40" s="1"/>
      <c r="Q40">
        <v>0</v>
      </c>
      <c r="R40">
        <v>0</v>
      </c>
      <c r="S40">
        <v>0</v>
      </c>
      <c r="T40">
        <v>0</v>
      </c>
      <c r="U40" t="s">
        <v>73</v>
      </c>
      <c r="V40">
        <v>0</v>
      </c>
      <c r="W40" s="1">
        <v>0</v>
      </c>
      <c r="X40">
        <v>0</v>
      </c>
      <c r="Y40" s="1">
        <v>0</v>
      </c>
      <c r="Z40">
        <v>0</v>
      </c>
      <c r="AA40" s="1">
        <v>0</v>
      </c>
      <c r="AB40" s="1">
        <v>0</v>
      </c>
      <c r="AC40" t="s">
        <v>73</v>
      </c>
      <c r="AD40" s="1">
        <v>6</v>
      </c>
      <c r="AE40" s="1">
        <v>6</v>
      </c>
      <c r="AF40" s="1">
        <v>0</v>
      </c>
      <c r="AG40" s="1">
        <v>0</v>
      </c>
      <c r="AH40">
        <v>0</v>
      </c>
      <c r="AI40" s="1">
        <v>10</v>
      </c>
      <c r="AJ40" s="1">
        <v>2</v>
      </c>
      <c r="AK40" s="1" t="s">
        <v>73</v>
      </c>
      <c r="AL40" s="1" t="s">
        <v>73</v>
      </c>
      <c r="AM40" s="63" t="s">
        <v>243</v>
      </c>
      <c r="AN40" s="1">
        <v>2030</v>
      </c>
      <c r="AO40" s="84">
        <v>45999.830659722225</v>
      </c>
      <c r="AP40" s="56">
        <v>46004.502511574072</v>
      </c>
      <c r="AQ40" s="1" t="s">
        <v>73</v>
      </c>
      <c r="AR40" s="1" t="s">
        <v>73</v>
      </c>
      <c r="AS40" s="1" t="s">
        <v>73</v>
      </c>
      <c r="AT40" s="1" t="s">
        <v>73</v>
      </c>
      <c r="AU40" s="1" t="s">
        <v>73</v>
      </c>
      <c r="AV40" s="1" t="s">
        <v>73</v>
      </c>
      <c r="AW40" s="1">
        <v>0</v>
      </c>
      <c r="AX40" t="s">
        <v>73</v>
      </c>
      <c r="AY40" s="1" t="s">
        <v>158</v>
      </c>
      <c r="AZ40" s="1" t="s">
        <v>158</v>
      </c>
      <c r="BA40" s="1" t="s">
        <v>158</v>
      </c>
      <c r="BC40"/>
      <c r="BE40"/>
      <c r="BI40"/>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4"/>
      <c r="CT40" s="4"/>
      <c r="CY40" s="42"/>
      <c r="DB40"/>
      <c r="DC40"/>
      <c r="DD40"/>
      <c r="DE40"/>
      <c r="DF40"/>
      <c r="DG40"/>
      <c r="DH40"/>
      <c r="DI40"/>
      <c r="DJ40"/>
      <c r="DK40"/>
      <c r="DL40"/>
      <c r="DM40"/>
      <c r="DN40"/>
      <c r="DO40"/>
      <c r="DP40"/>
      <c r="DQ40"/>
      <c r="DR40"/>
      <c r="EA40"/>
      <c r="EB40"/>
      <c r="EC40"/>
      <c r="ED40"/>
      <c r="EE40"/>
      <c r="EF40"/>
      <c r="EG40"/>
      <c r="EH40"/>
      <c r="EI40"/>
      <c r="FA40"/>
      <c r="FB40"/>
      <c r="FC40"/>
      <c r="FD40"/>
      <c r="FE40"/>
      <c r="FF40"/>
      <c r="FG40"/>
      <c r="FH40"/>
    </row>
    <row r="41" spans="1:164" ht="16" x14ac:dyDescent="0.2">
      <c r="A41" t="s">
        <v>185</v>
      </c>
      <c r="B41" t="s">
        <v>176</v>
      </c>
      <c r="C41" t="s">
        <v>177</v>
      </c>
      <c r="D41" s="1" t="s">
        <v>73</v>
      </c>
      <c r="E41" t="s">
        <v>72</v>
      </c>
      <c r="F41" t="s">
        <v>72</v>
      </c>
      <c r="G41" s="1" t="s">
        <v>73</v>
      </c>
      <c r="H41" s="1"/>
      <c r="I41" s="1">
        <v>4</v>
      </c>
      <c r="N41" s="1"/>
      <c r="O41" s="1"/>
      <c r="P41" s="1"/>
      <c r="Q41">
        <v>0</v>
      </c>
      <c r="R41">
        <v>0</v>
      </c>
      <c r="S41">
        <v>0</v>
      </c>
      <c r="T41">
        <v>0</v>
      </c>
      <c r="U41" t="s">
        <v>73</v>
      </c>
      <c r="V41">
        <v>0</v>
      </c>
      <c r="W41" s="1">
        <v>0</v>
      </c>
      <c r="X41">
        <v>0</v>
      </c>
      <c r="Y41" s="1">
        <v>0</v>
      </c>
      <c r="Z41">
        <v>0</v>
      </c>
      <c r="AA41" s="1">
        <v>0</v>
      </c>
      <c r="AB41" s="1">
        <v>0</v>
      </c>
      <c r="AC41" t="s">
        <v>73</v>
      </c>
      <c r="AD41" s="1">
        <v>6</v>
      </c>
      <c r="AE41" s="1">
        <v>6</v>
      </c>
      <c r="AF41" s="1">
        <v>0</v>
      </c>
      <c r="AG41" s="1">
        <v>6</v>
      </c>
      <c r="AH41">
        <v>0</v>
      </c>
      <c r="AI41" s="1">
        <v>40</v>
      </c>
      <c r="AJ41" s="1">
        <v>12</v>
      </c>
      <c r="AK41" s="1" t="s">
        <v>72</v>
      </c>
      <c r="AL41" s="1" t="s">
        <v>73</v>
      </c>
      <c r="AM41" s="63" t="s">
        <v>73</v>
      </c>
      <c r="AN41" s="1">
        <v>2028</v>
      </c>
      <c r="AO41" s="84">
        <v>45998.959953703707</v>
      </c>
      <c r="AP41" s="56">
        <v>46006.886087962965</v>
      </c>
      <c r="AQ41" s="1" t="s">
        <v>73</v>
      </c>
      <c r="AR41" s="1" t="s">
        <v>73</v>
      </c>
      <c r="AS41" s="1" t="s">
        <v>73</v>
      </c>
      <c r="AT41" s="1" t="s">
        <v>73</v>
      </c>
      <c r="AU41" s="1" t="s">
        <v>73</v>
      </c>
      <c r="AV41" s="1" t="s">
        <v>73</v>
      </c>
      <c r="AW41" s="1">
        <v>0</v>
      </c>
      <c r="AX41" t="s">
        <v>73</v>
      </c>
      <c r="AY41" s="1" t="s">
        <v>158</v>
      </c>
      <c r="AZ41" s="1" t="s">
        <v>158</v>
      </c>
      <c r="BA41" s="1" t="s">
        <v>158</v>
      </c>
      <c r="BC41"/>
      <c r="BE41"/>
      <c r="BI4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4"/>
      <c r="CT41" s="4"/>
      <c r="CY41" s="42"/>
      <c r="DB41"/>
      <c r="DC41"/>
      <c r="DD41"/>
      <c r="DE41"/>
      <c r="DF41"/>
      <c r="DG41"/>
      <c r="DH41"/>
      <c r="DI41"/>
      <c r="DJ41"/>
      <c r="DK41"/>
      <c r="DL41"/>
      <c r="DM41"/>
      <c r="DN41"/>
      <c r="DO41"/>
      <c r="DP41"/>
      <c r="DQ41"/>
      <c r="DR41"/>
      <c r="EA41"/>
      <c r="EB41"/>
      <c r="EC41"/>
      <c r="ED41"/>
      <c r="EE41"/>
      <c r="EF41"/>
      <c r="EG41"/>
      <c r="EH41"/>
      <c r="EI41"/>
      <c r="FA41"/>
      <c r="FB41"/>
      <c r="FC41"/>
      <c r="FD41"/>
      <c r="FE41"/>
      <c r="FF41"/>
      <c r="FG41"/>
      <c r="FH41"/>
    </row>
    <row r="42" spans="1:164" ht="16" x14ac:dyDescent="0.2">
      <c r="A42" t="s">
        <v>185</v>
      </c>
      <c r="B42" t="s">
        <v>182</v>
      </c>
      <c r="C42" t="s">
        <v>183</v>
      </c>
      <c r="D42" s="1" t="s">
        <v>73</v>
      </c>
      <c r="E42" t="s">
        <v>72</v>
      </c>
      <c r="F42" t="s">
        <v>72</v>
      </c>
      <c r="G42" s="1" t="s">
        <v>73</v>
      </c>
      <c r="H42" s="1"/>
      <c r="I42" s="1">
        <v>8</v>
      </c>
      <c r="J42">
        <v>3</v>
      </c>
      <c r="N42" s="1"/>
      <c r="O42" s="1"/>
      <c r="P42" s="1"/>
      <c r="Q42">
        <v>0</v>
      </c>
      <c r="R42">
        <v>0</v>
      </c>
      <c r="S42">
        <v>0</v>
      </c>
      <c r="T42">
        <v>0</v>
      </c>
      <c r="U42" t="s">
        <v>73</v>
      </c>
      <c r="V42">
        <v>0</v>
      </c>
      <c r="W42" s="1">
        <v>0</v>
      </c>
      <c r="X42">
        <v>0</v>
      </c>
      <c r="Y42" s="1">
        <v>0</v>
      </c>
      <c r="Z42">
        <v>0</v>
      </c>
      <c r="AA42" s="1">
        <v>0</v>
      </c>
      <c r="AB42" s="1">
        <v>0</v>
      </c>
      <c r="AC42" t="s">
        <v>72</v>
      </c>
      <c r="AD42" s="1">
        <v>0</v>
      </c>
      <c r="AE42" s="1">
        <v>0</v>
      </c>
      <c r="AF42" s="1">
        <v>0</v>
      </c>
      <c r="AG42" s="1">
        <v>0</v>
      </c>
      <c r="AH42">
        <v>1</v>
      </c>
      <c r="AI42" s="1">
        <v>35</v>
      </c>
      <c r="AJ42" s="1">
        <v>4</v>
      </c>
      <c r="AK42" s="1" t="s">
        <v>73</v>
      </c>
      <c r="AL42" s="1" t="s">
        <v>73</v>
      </c>
      <c r="AM42" s="63" t="s">
        <v>73</v>
      </c>
      <c r="AN42" s="1">
        <v>2025</v>
      </c>
      <c r="AO42" s="84">
        <v>45998.524965277778</v>
      </c>
      <c r="AP42" s="56">
        <v>45998.483298611114</v>
      </c>
      <c r="AQ42" s="1" t="s">
        <v>73</v>
      </c>
      <c r="AR42" s="1" t="s">
        <v>73</v>
      </c>
      <c r="AS42" s="1" t="s">
        <v>73</v>
      </c>
      <c r="AT42" s="1" t="s">
        <v>73</v>
      </c>
      <c r="AU42" s="1" t="s">
        <v>73</v>
      </c>
      <c r="AV42" s="1" t="s">
        <v>73</v>
      </c>
      <c r="AW42" s="1">
        <v>0</v>
      </c>
      <c r="AX42" t="s">
        <v>73</v>
      </c>
      <c r="AY42" s="1" t="s">
        <v>158</v>
      </c>
      <c r="AZ42" s="1" t="s">
        <v>158</v>
      </c>
      <c r="BA42" s="1" t="s">
        <v>158</v>
      </c>
      <c r="BC42"/>
      <c r="BE42"/>
      <c r="BI42"/>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4"/>
      <c r="CT42" s="4"/>
      <c r="CY42" s="42"/>
      <c r="DB42"/>
      <c r="DC42"/>
      <c r="DD42"/>
      <c r="DE42"/>
      <c r="DF42"/>
      <c r="DG42"/>
      <c r="DH42"/>
      <c r="DI42"/>
      <c r="DJ42"/>
      <c r="DK42"/>
      <c r="DL42"/>
      <c r="DM42"/>
      <c r="DN42"/>
      <c r="DO42"/>
      <c r="DP42"/>
      <c r="DQ42"/>
      <c r="DR42"/>
      <c r="EA42"/>
      <c r="EB42"/>
      <c r="EC42"/>
      <c r="ED42"/>
      <c r="EE42"/>
      <c r="EF42"/>
      <c r="EG42"/>
      <c r="EH42"/>
      <c r="EI42"/>
      <c r="FA42"/>
      <c r="FB42"/>
      <c r="FC42"/>
      <c r="FD42"/>
      <c r="FE42"/>
      <c r="FF42"/>
      <c r="FG42"/>
      <c r="FH42"/>
    </row>
    <row r="43" spans="1:164" x14ac:dyDescent="0.2">
      <c r="A43" t="s">
        <v>79</v>
      </c>
      <c r="C43">
        <f>SUBTOTAL(103,FSD[Naam vereniging])</f>
        <v>36</v>
      </c>
      <c r="D43" s="1">
        <f>COUNTIF(FSD[Delegatie],"x")</f>
        <v>2</v>
      </c>
      <c r="E43" s="1">
        <f>COUNTIF(FSD[Muziekkorps tijdens mars en defilé],"x")</f>
        <v>31</v>
      </c>
      <c r="F43" s="1">
        <f>COUNTIF(FSD[Deelname jeugdkoningschieten],"x")</f>
        <v>27</v>
      </c>
      <c r="G43" s="7">
        <f>COUNTIF(FSD[Maj. Senioren jureren bij mars],"x")</f>
        <v>5</v>
      </c>
      <c r="H43" s="7">
        <f>COUNTIF(FSD[Maj. Jeugd jureren bij mars],"x")</f>
        <v>7</v>
      </c>
      <c r="I43" s="1">
        <f>SUBTOTAL(109,FSD[Korps senioren])</f>
        <v>228</v>
      </c>
      <c r="J43" s="1">
        <f>SUBTOTAL(109,FSD[Junioren korps 1])</f>
        <v>76</v>
      </c>
      <c r="K43" s="1">
        <f>SUBTOTAL(109,FSD[Junioren korps 2])</f>
        <v>0</v>
      </c>
      <c r="L43" s="1">
        <f>SUBTOTAL(109,FSD[Aspiranten korps 1])</f>
        <v>45</v>
      </c>
      <c r="M43" s="1">
        <f>SUBTOTAL(109,FSD[Aspiranten korps 2])</f>
        <v>0</v>
      </c>
      <c r="N43" s="1">
        <f>SUBTOTAL(109,FSD[Acrobatisch senioren])</f>
        <v>47</v>
      </c>
      <c r="O43" s="1">
        <f>SUBTOTAL(109,FSD[Acrobatisch junioren])</f>
        <v>10</v>
      </c>
      <c r="P43" s="1">
        <f>SUBTOTAL(109,FSD[Acrobatisch aspiranten])</f>
        <v>0</v>
      </c>
      <c r="Q43">
        <f>SUBTOTAL(109,FSD[Opgeven vendeliers ind.])</f>
        <v>37</v>
      </c>
      <c r="R43">
        <f>SUBTOTAL(109,FSD[Acrob. senioren indiv.])</f>
        <v>16</v>
      </c>
      <c r="S43">
        <f>SUBTOTAL(109,FSD[Acrob. junioren indiv.])</f>
        <v>14</v>
      </c>
      <c r="T43">
        <f>SUBTOTAL(109,FSD[Acrob. aspiranten indiv.])</f>
        <v>7</v>
      </c>
      <c r="U43" s="7">
        <f>COUNTIF(FSD[Deelname hoofdkorps],"x")</f>
        <v>7</v>
      </c>
      <c r="V43" s="1">
        <f>SUBTOTAL(109,FSD[Groepen, teams, ensembles en duo''s])</f>
        <v>36</v>
      </c>
      <c r="W43" s="1">
        <f>SUBTOTAL(109,FSD[Aantal opgegeven majorettes])</f>
        <v>107</v>
      </c>
      <c r="X43">
        <f>SUBTOTAL(109,FSD[Opgeven bielemannen])</f>
        <v>84</v>
      </c>
      <c r="Y43" s="1">
        <f>SUBTOTAL(109,FSD[Senioren])</f>
        <v>64</v>
      </c>
      <c r="Z43" s="1">
        <f>SUBTOTAL(109,FSD[Jong Volwassene])</f>
        <v>14</v>
      </c>
      <c r="AA43" s="1">
        <f>SUBTOTAL(109,FSD[Junioren])</f>
        <v>1</v>
      </c>
      <c r="AB43" s="1">
        <f>SUBTOTAL(109,FSD[Aspiranten])</f>
        <v>5</v>
      </c>
      <c r="AC43" s="7">
        <f>COUNTIF(FSD[Deelname marketentsters],"x")</f>
        <v>10</v>
      </c>
      <c r="AD43">
        <f>SUBTOTAL(109,FSD[Aantal luchtgeweerschutters])</f>
        <v>144</v>
      </c>
      <c r="AE43" s="1">
        <f>SUBTOTAL(109,FSD[Aantal luchtpistoolschutters])</f>
        <v>115</v>
      </c>
      <c r="AF43">
        <f>SUBTOTAL(109,FSD[Aantal handboogschutters])</f>
        <v>13</v>
      </c>
      <c r="AG43" s="1">
        <f>SUBTOTAL(109,FSD[Aantal kruisboogschutters])</f>
        <v>107</v>
      </c>
      <c r="AH43">
        <f>SUBTOTAL(109,FSD[(Aantal jeugdkorpsen])</f>
        <v>25</v>
      </c>
      <c r="AI43" s="1">
        <f>SUBTOTAL(109,FSD[Totaal aantal deelnemers])</f>
        <v>2006</v>
      </c>
      <c r="AJ43" s="1">
        <f>SUBTOTAL(109,FSD[Waarvan aantal jeugd (t/m 15 jaar)])</f>
        <v>390</v>
      </c>
      <c r="AK43" s="55">
        <f>COUNTIF(FSD[Kanon etc.],"x")</f>
        <v>13</v>
      </c>
      <c r="AL43" s="1">
        <f>COUNTIF(FSD[Paarden en/of koetsen],"x")</f>
        <v>3</v>
      </c>
      <c r="AM43" s="44"/>
      <c r="AN43" s="1"/>
      <c r="AW43" s="1">
        <f>SUBTOTAL(109,FSD[Korps bestaat uit ... deelnemers (hoofdkorps)])</f>
        <v>217</v>
      </c>
      <c r="AX43"/>
      <c r="BC43"/>
      <c r="BE43"/>
      <c r="BI43"/>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4"/>
      <c r="CT43" s="4"/>
      <c r="CY43" s="42"/>
      <c r="DB43"/>
      <c r="DC43"/>
      <c r="DD43"/>
      <c r="DE43"/>
      <c r="DF43"/>
      <c r="DG43"/>
      <c r="DH43"/>
      <c r="DI43"/>
      <c r="DJ43"/>
      <c r="DK43"/>
      <c r="DL43"/>
      <c r="DM43"/>
      <c r="DN43"/>
      <c r="DO43"/>
      <c r="DP43"/>
      <c r="DQ43"/>
      <c r="DR43"/>
      <c r="EA43"/>
      <c r="EB43"/>
      <c r="EC43"/>
      <c r="ED43"/>
      <c r="EE43"/>
      <c r="EF43"/>
      <c r="EG43"/>
      <c r="EH43"/>
      <c r="EI43"/>
      <c r="FA43"/>
      <c r="FB43"/>
      <c r="FC43"/>
      <c r="FD43"/>
      <c r="FE43"/>
      <c r="FF43"/>
      <c r="FG43"/>
      <c r="FH43"/>
    </row>
    <row r="44" spans="1:164" x14ac:dyDescent="0.2">
      <c r="BC44"/>
      <c r="BE44"/>
      <c r="BI44"/>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4"/>
      <c r="CT44" s="4"/>
      <c r="CY44" s="42"/>
      <c r="DB44"/>
      <c r="DC44"/>
      <c r="DD44"/>
      <c r="DE44"/>
      <c r="DF44"/>
      <c r="DG44"/>
      <c r="DH44"/>
      <c r="DI44"/>
      <c r="DJ44"/>
      <c r="DK44"/>
      <c r="DL44"/>
      <c r="DM44"/>
      <c r="DN44"/>
      <c r="DO44"/>
      <c r="DP44"/>
      <c r="DQ44"/>
      <c r="DR44"/>
      <c r="EA44"/>
      <c r="EB44"/>
      <c r="EC44"/>
      <c r="ED44"/>
      <c r="EE44"/>
      <c r="EF44"/>
      <c r="EG44"/>
      <c r="EH44"/>
      <c r="EI44"/>
      <c r="FA44"/>
      <c r="FB44"/>
      <c r="FC44"/>
      <c r="FD44"/>
      <c r="FE44"/>
      <c r="FF44"/>
      <c r="FG44"/>
      <c r="FH44"/>
    </row>
    <row r="45" spans="1:164" x14ac:dyDescent="0.2">
      <c r="C45" s="88"/>
      <c r="BC45"/>
      <c r="BE45"/>
      <c r="BI45"/>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4"/>
      <c r="CT45" s="4"/>
      <c r="CY45" s="42"/>
      <c r="DB45"/>
      <c r="DC45"/>
      <c r="DD45"/>
      <c r="DE45"/>
      <c r="DF45"/>
      <c r="DG45"/>
      <c r="DH45"/>
      <c r="DI45"/>
      <c r="DJ45"/>
      <c r="DK45"/>
      <c r="DL45"/>
      <c r="DM45"/>
      <c r="DN45"/>
      <c r="DO45"/>
      <c r="DP45"/>
      <c r="DQ45"/>
      <c r="DR45"/>
      <c r="EA45"/>
      <c r="EB45"/>
      <c r="EC45"/>
      <c r="ED45"/>
      <c r="EE45"/>
      <c r="EF45"/>
      <c r="EG45"/>
      <c r="EH45"/>
      <c r="EI45"/>
      <c r="FA45"/>
      <c r="FB45"/>
      <c r="FC45"/>
      <c r="FD45"/>
      <c r="FE45"/>
      <c r="FF45"/>
      <c r="FG45"/>
      <c r="FH45"/>
    </row>
    <row r="46" spans="1:164" x14ac:dyDescent="0.2">
      <c r="B46" s="87"/>
      <c r="C46" s="87"/>
      <c r="BC46"/>
      <c r="BE46"/>
      <c r="BI46"/>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4"/>
      <c r="CT46" s="4"/>
      <c r="CY46" s="42"/>
      <c r="DB46"/>
      <c r="DC46"/>
      <c r="DD46"/>
      <c r="DE46"/>
      <c r="DF46"/>
      <c r="DG46"/>
      <c r="DH46"/>
      <c r="DI46"/>
      <c r="DJ46"/>
      <c r="DK46"/>
      <c r="DL46"/>
      <c r="DM46"/>
      <c r="DN46"/>
      <c r="DO46"/>
      <c r="DP46"/>
      <c r="DQ46"/>
      <c r="DR46"/>
      <c r="EA46"/>
      <c r="EB46"/>
      <c r="EC46"/>
      <c r="ED46"/>
      <c r="EE46"/>
      <c r="EF46"/>
      <c r="EG46"/>
      <c r="EH46"/>
      <c r="EI46"/>
      <c r="FA46"/>
      <c r="FB46"/>
      <c r="FC46"/>
      <c r="FD46"/>
      <c r="FE46"/>
      <c r="FF46"/>
      <c r="FG46"/>
      <c r="FH46"/>
    </row>
    <row r="47" spans="1:164" x14ac:dyDescent="0.2">
      <c r="BC47"/>
      <c r="BE47"/>
      <c r="BI47"/>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4"/>
      <c r="CT47" s="4"/>
      <c r="CY47" s="42"/>
      <c r="DB47"/>
      <c r="DC47"/>
      <c r="DD47"/>
      <c r="DE47"/>
      <c r="DF47"/>
      <c r="DG47"/>
      <c r="DH47"/>
      <c r="DI47"/>
      <c r="DJ47"/>
      <c r="DK47"/>
      <c r="DL47"/>
      <c r="DM47"/>
      <c r="DN47"/>
      <c r="DO47"/>
      <c r="DP47"/>
      <c r="DQ47"/>
      <c r="DR47"/>
      <c r="EA47"/>
      <c r="EB47"/>
      <c r="EC47"/>
      <c r="ED47"/>
      <c r="EE47"/>
      <c r="EF47"/>
      <c r="EG47"/>
      <c r="EH47"/>
      <c r="EI47"/>
      <c r="FA47"/>
      <c r="FB47"/>
      <c r="FC47"/>
      <c r="FD47"/>
      <c r="FE47"/>
      <c r="FF47"/>
      <c r="FG47"/>
      <c r="FH47"/>
    </row>
  </sheetData>
  <mergeCells count="13">
    <mergeCell ref="A1:BA1"/>
    <mergeCell ref="A2:BA2"/>
    <mergeCell ref="D3:H4"/>
    <mergeCell ref="J3:T3"/>
    <mergeCell ref="X3:AB4"/>
    <mergeCell ref="AC3:AC4"/>
    <mergeCell ref="AD3:AH4"/>
    <mergeCell ref="AI3:AQ4"/>
    <mergeCell ref="AR3:AW4"/>
    <mergeCell ref="I4:M4"/>
    <mergeCell ref="N4:P4"/>
    <mergeCell ref="AX3:BA4"/>
    <mergeCell ref="Q4:T4"/>
  </mergeCells>
  <phoneticPr fontId="2" type="noConversion"/>
  <pageMargins left="0.25" right="0.25" top="0.75" bottom="0.75" header="0.3" footer="0.3"/>
  <pageSetup paperSize="9" scale="50" fitToHeight="0" orientation="landscape" horizontalDpi="1200"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0146F-204B-1143-9B35-B64FF907989B}">
  <dimension ref="A1:AU44"/>
  <sheetViews>
    <sheetView tabSelected="1" topLeftCell="A6" workbookViewId="0">
      <selection activeCell="E22" sqref="E22"/>
    </sheetView>
  </sheetViews>
  <sheetFormatPr baseColWidth="10" defaultRowHeight="15" x14ac:dyDescent="0.2"/>
  <cols>
    <col min="1" max="1" width="13.33203125" bestFit="1" customWidth="1"/>
    <col min="2" max="2" width="15" bestFit="1" customWidth="1"/>
    <col min="3" max="3" width="8.83203125" bestFit="1" customWidth="1"/>
    <col min="4" max="4" width="20.5" bestFit="1" customWidth="1"/>
    <col min="5" max="5" width="58.83203125" bestFit="1" customWidth="1"/>
    <col min="6" max="6" width="11.33203125" bestFit="1" customWidth="1"/>
    <col min="7" max="10" width="11" bestFit="1" customWidth="1"/>
    <col min="11" max="12" width="3.6640625" bestFit="1" customWidth="1"/>
    <col min="13" max="13" width="6.33203125" bestFit="1" customWidth="1"/>
    <col min="14" max="15" width="3.6640625" bestFit="1" customWidth="1"/>
    <col min="16" max="16" width="6.33203125" bestFit="1" customWidth="1"/>
    <col min="17" max="17" width="4.1640625" bestFit="1" customWidth="1"/>
    <col min="18" max="18" width="3.6640625" bestFit="1" customWidth="1"/>
    <col min="19" max="19" width="80.6640625" bestFit="1" customWidth="1"/>
    <col min="20" max="20" width="15.1640625" bestFit="1" customWidth="1"/>
    <col min="21" max="21" width="26.33203125" bestFit="1" customWidth="1"/>
    <col min="22" max="22" width="22.83203125" bestFit="1" customWidth="1"/>
    <col min="23" max="23" width="26.33203125" bestFit="1" customWidth="1"/>
    <col min="24" max="24" width="22.83203125" bestFit="1" customWidth="1"/>
    <col min="25" max="25" width="26.33203125" bestFit="1" customWidth="1"/>
    <col min="26" max="26" width="22.83203125" bestFit="1" customWidth="1"/>
    <col min="27" max="27" width="26.33203125" bestFit="1" customWidth="1"/>
    <col min="28" max="28" width="22.83203125" bestFit="1" customWidth="1"/>
    <col min="29" max="29" width="26.33203125" bestFit="1" customWidth="1"/>
    <col min="30" max="30" width="22.83203125" bestFit="1" customWidth="1"/>
    <col min="31" max="31" width="26.33203125" bestFit="1" customWidth="1"/>
    <col min="32" max="32" width="22.83203125" bestFit="1" customWidth="1"/>
    <col min="33" max="35" width="3.6640625" bestFit="1" customWidth="1"/>
    <col min="36" max="36" width="11.33203125" bestFit="1" customWidth="1"/>
    <col min="37" max="37" width="14" bestFit="1" customWidth="1"/>
    <col min="38" max="38" width="11.33203125" bestFit="1" customWidth="1"/>
    <col min="39" max="39" width="14" bestFit="1" customWidth="1"/>
    <col min="40" max="40" width="11.33203125" bestFit="1" customWidth="1"/>
    <col min="41" max="41" width="14" bestFit="1" customWidth="1"/>
    <col min="42" max="42" width="11.33203125" bestFit="1" customWidth="1"/>
    <col min="43" max="45" width="3.6640625" bestFit="1" customWidth="1"/>
    <col min="46" max="46" width="14.83203125" bestFit="1" customWidth="1"/>
    <col min="47" max="47" width="15.1640625" customWidth="1"/>
    <col min="48" max="48" width="25.33203125" bestFit="1" customWidth="1"/>
    <col min="49" max="49" width="21.83203125" bestFit="1" customWidth="1"/>
    <col min="50" max="50" width="25.33203125" bestFit="1" customWidth="1"/>
    <col min="51" max="51" width="21.83203125" bestFit="1" customWidth="1"/>
    <col min="52" max="52" width="25.33203125" bestFit="1" customWidth="1"/>
    <col min="53" max="53" width="21.83203125" bestFit="1" customWidth="1"/>
    <col min="54" max="54" width="25.33203125" bestFit="1" customWidth="1"/>
    <col min="55" max="55" width="21.83203125" bestFit="1" customWidth="1"/>
    <col min="56" max="56" width="25.33203125" bestFit="1" customWidth="1"/>
    <col min="57" max="57" width="21.83203125" bestFit="1" customWidth="1"/>
    <col min="58" max="58" width="25.33203125" bestFit="1" customWidth="1"/>
    <col min="59" max="59" width="21.83203125" bestFit="1" customWidth="1"/>
    <col min="60" max="60" width="25.33203125" bestFit="1" customWidth="1"/>
    <col min="61" max="61" width="21.83203125" bestFit="1" customWidth="1"/>
    <col min="62" max="62" width="25.33203125" bestFit="1" customWidth="1"/>
    <col min="63" max="63" width="21.83203125" bestFit="1" customWidth="1"/>
    <col min="64" max="64" width="26.33203125" bestFit="1" customWidth="1"/>
    <col min="65" max="65" width="22.83203125" bestFit="1" customWidth="1"/>
    <col min="66" max="66" width="26.33203125" bestFit="1" customWidth="1"/>
    <col min="67" max="67" width="22.83203125" bestFit="1" customWidth="1"/>
    <col min="68" max="68" width="26.33203125" bestFit="1" customWidth="1"/>
    <col min="69" max="69" width="22.83203125" bestFit="1" customWidth="1"/>
    <col min="70" max="70" width="26.33203125" bestFit="1" customWidth="1"/>
    <col min="71" max="71" width="22.83203125" bestFit="1" customWidth="1"/>
    <col min="72" max="72" width="26.33203125" bestFit="1" customWidth="1"/>
    <col min="73" max="73" width="22.83203125" bestFit="1" customWidth="1"/>
    <col min="74" max="74" width="26.33203125" bestFit="1" customWidth="1"/>
    <col min="75" max="75" width="22.83203125" bestFit="1" customWidth="1"/>
    <col min="76" max="76" width="26.33203125" bestFit="1" customWidth="1"/>
    <col min="77" max="77" width="22.83203125" bestFit="1" customWidth="1"/>
    <col min="78" max="78" width="26.33203125" bestFit="1" customWidth="1"/>
    <col min="79" max="79" width="22.83203125" bestFit="1" customWidth="1"/>
    <col min="80" max="80" width="26.33203125" bestFit="1" customWidth="1"/>
    <col min="81" max="81" width="22.83203125" bestFit="1" customWidth="1"/>
    <col min="82" max="82" width="26.33203125" bestFit="1" customWidth="1"/>
    <col min="83" max="83" width="22.83203125" bestFit="1" customWidth="1"/>
    <col min="84" max="84" width="26.33203125" bestFit="1" customWidth="1"/>
    <col min="85" max="85" width="22.83203125" bestFit="1" customWidth="1"/>
    <col min="86" max="86" width="10.33203125" bestFit="1" customWidth="1"/>
    <col min="87" max="87" width="13" bestFit="1" customWidth="1"/>
    <col min="88" max="88" width="10.33203125" bestFit="1" customWidth="1"/>
    <col min="89" max="89" width="13" bestFit="1" customWidth="1"/>
    <col min="90" max="90" width="10.33203125" bestFit="1" customWidth="1"/>
    <col min="91" max="91" width="13" bestFit="1" customWidth="1"/>
    <col min="92" max="92" width="10.33203125" bestFit="1" customWidth="1"/>
    <col min="93" max="93" width="13" bestFit="1" customWidth="1"/>
    <col min="94" max="94" width="10.33203125" bestFit="1" customWidth="1"/>
    <col min="95" max="95" width="13" bestFit="1" customWidth="1"/>
    <col min="96" max="96" width="10.33203125" bestFit="1" customWidth="1"/>
    <col min="97" max="97" width="13" bestFit="1" customWidth="1"/>
    <col min="98" max="98" width="10.33203125" bestFit="1" customWidth="1"/>
    <col min="99" max="99" width="13" bestFit="1" customWidth="1"/>
    <col min="100" max="100" width="10.33203125" bestFit="1" customWidth="1"/>
    <col min="101" max="101" width="13" bestFit="1" customWidth="1"/>
    <col min="102" max="102" width="10.33203125" bestFit="1" customWidth="1"/>
    <col min="103" max="103" width="13" customWidth="1"/>
    <col min="104" max="104" width="11.33203125" bestFit="1" customWidth="1"/>
    <col min="105" max="105" width="14" bestFit="1" customWidth="1"/>
    <col min="106" max="106" width="11.33203125" bestFit="1" customWidth="1"/>
    <col min="107" max="107" width="14" bestFit="1" customWidth="1"/>
    <col min="108" max="108" width="11.33203125" bestFit="1" customWidth="1"/>
    <col min="109" max="109" width="14" bestFit="1" customWidth="1"/>
    <col min="110" max="110" width="11.33203125" bestFit="1" customWidth="1"/>
    <col min="111" max="111" width="14" customWidth="1"/>
    <col min="112" max="112" width="11.33203125" bestFit="1" customWidth="1"/>
    <col min="113" max="113" width="14" customWidth="1"/>
    <col min="114" max="114" width="11.33203125" bestFit="1" customWidth="1"/>
    <col min="115" max="115" width="14" customWidth="1"/>
    <col min="116" max="116" width="11.33203125" bestFit="1" customWidth="1"/>
    <col min="117" max="117" width="14" customWidth="1"/>
    <col min="118" max="118" width="11.33203125" bestFit="1" customWidth="1"/>
    <col min="119" max="119" width="14" customWidth="1"/>
    <col min="120" max="120" width="11.33203125" bestFit="1" customWidth="1"/>
    <col min="121" max="121" width="14" customWidth="1"/>
    <col min="122" max="122" width="11.33203125" bestFit="1" customWidth="1"/>
    <col min="123" max="123" width="14" customWidth="1"/>
    <col min="124" max="124" width="11.33203125" bestFit="1" customWidth="1"/>
    <col min="125" max="125" width="14" customWidth="1"/>
    <col min="126" max="126" width="7.33203125" bestFit="1" customWidth="1"/>
    <col min="127" max="127" width="7.1640625" bestFit="1" customWidth="1"/>
    <col min="128" max="128" width="7.6640625" bestFit="1" customWidth="1"/>
  </cols>
  <sheetData>
    <row r="1" spans="1:47" ht="24" x14ac:dyDescent="0.3">
      <c r="C1" s="125" t="s">
        <v>169</v>
      </c>
      <c r="D1" s="125"/>
      <c r="E1" s="125"/>
      <c r="F1" s="125"/>
      <c r="G1" s="125"/>
    </row>
    <row r="2" spans="1:47" ht="16" x14ac:dyDescent="0.2">
      <c r="C2" s="126" t="s">
        <v>170</v>
      </c>
      <c r="D2" s="126"/>
      <c r="E2" s="126"/>
      <c r="F2" s="126"/>
      <c r="G2" s="126"/>
    </row>
    <row r="4" spans="1:47" ht="15" customHeight="1" thickBot="1" x14ac:dyDescent="0.25"/>
    <row r="5" spans="1:47" s="28" customFormat="1" ht="61" customHeight="1" thickBot="1" x14ac:dyDescent="0.25">
      <c r="A5" s="123"/>
      <c r="B5" s="123"/>
      <c r="C5" s="123"/>
      <c r="D5" s="123"/>
      <c r="E5" s="124"/>
      <c r="F5" s="114" t="s">
        <v>137</v>
      </c>
      <c r="G5" s="115"/>
      <c r="H5" s="115"/>
      <c r="I5" s="115"/>
      <c r="J5" s="116"/>
      <c r="K5" s="117" t="s">
        <v>138</v>
      </c>
      <c r="L5" s="118"/>
      <c r="M5" s="119"/>
      <c r="N5" s="120" t="s">
        <v>136</v>
      </c>
      <c r="O5" s="121"/>
      <c r="P5" s="122"/>
      <c r="Q5" s="27"/>
      <c r="R5" s="27"/>
      <c r="S5" s="27"/>
      <c r="T5" s="2"/>
      <c r="U5" s="2"/>
      <c r="V5" s="2"/>
      <c r="W5" s="2"/>
      <c r="X5" s="2"/>
      <c r="Y5" s="2"/>
      <c r="Z5" s="2"/>
      <c r="AA5" s="2"/>
      <c r="AB5" s="2"/>
      <c r="AC5" s="2"/>
      <c r="AD5" s="2"/>
      <c r="AE5" s="2"/>
      <c r="AF5" s="2"/>
      <c r="AG5" s="2"/>
      <c r="AH5" s="2"/>
      <c r="AI5" s="2"/>
      <c r="AJ5" s="2"/>
      <c r="AK5" s="2"/>
      <c r="AL5" s="2"/>
      <c r="AM5" s="2"/>
      <c r="AN5" s="2"/>
      <c r="AO5" s="2"/>
      <c r="AP5" s="2"/>
      <c r="AQ5" s="2"/>
      <c r="AR5" s="2"/>
      <c r="AS5" s="2"/>
      <c r="AT5" s="2"/>
      <c r="AU5" s="2"/>
    </row>
    <row r="6" spans="1:47" s="28" customFormat="1" ht="115" x14ac:dyDescent="0.2">
      <c r="A6" s="2" t="s">
        <v>51</v>
      </c>
      <c r="B6" s="27" t="s">
        <v>52</v>
      </c>
      <c r="C6" s="25" t="s">
        <v>88</v>
      </c>
      <c r="D6" s="25" t="s">
        <v>131</v>
      </c>
      <c r="E6" s="26" t="s">
        <v>19</v>
      </c>
      <c r="F6" s="59" t="s">
        <v>89</v>
      </c>
      <c r="G6" s="60" t="s">
        <v>99</v>
      </c>
      <c r="H6" s="60" t="s">
        <v>100</v>
      </c>
      <c r="I6" s="60" t="s">
        <v>101</v>
      </c>
      <c r="J6" s="60" t="s">
        <v>102</v>
      </c>
      <c r="K6" s="65" t="s">
        <v>90</v>
      </c>
      <c r="L6" s="64" t="s">
        <v>91</v>
      </c>
      <c r="M6" s="64" t="s">
        <v>92</v>
      </c>
      <c r="N6" s="57" t="s">
        <v>133</v>
      </c>
      <c r="O6" s="57" t="s">
        <v>134</v>
      </c>
      <c r="P6" s="57" t="s">
        <v>135</v>
      </c>
      <c r="Q6" s="58" t="s">
        <v>94</v>
      </c>
      <c r="R6" s="58" t="s">
        <v>95</v>
      </c>
      <c r="S6" s="83" t="s">
        <v>93</v>
      </c>
      <c r="T6" s="27" t="s">
        <v>103</v>
      </c>
    </row>
    <row r="7" spans="1:47" ht="48" x14ac:dyDescent="0.2">
      <c r="A7">
        <v>2019</v>
      </c>
      <c r="B7" s="56">
        <v>45992.820740740739</v>
      </c>
      <c r="C7" t="s">
        <v>132</v>
      </c>
      <c r="D7" t="s">
        <v>165</v>
      </c>
      <c r="E7" t="s">
        <v>166</v>
      </c>
      <c r="F7">
        <v>4</v>
      </c>
      <c r="G7">
        <v>0</v>
      </c>
      <c r="H7">
        <v>0</v>
      </c>
      <c r="I7">
        <v>0</v>
      </c>
      <c r="J7">
        <v>0</v>
      </c>
      <c r="K7">
        <v>0</v>
      </c>
      <c r="L7">
        <v>0</v>
      </c>
      <c r="M7">
        <v>0</v>
      </c>
      <c r="N7">
        <v>0</v>
      </c>
      <c r="O7">
        <v>0</v>
      </c>
      <c r="P7">
        <v>0</v>
      </c>
      <c r="Q7">
        <v>4</v>
      </c>
      <c r="R7">
        <v>0</v>
      </c>
      <c r="S7" s="42" t="s">
        <v>195</v>
      </c>
      <c r="T7" s="56">
        <v>46004.47452546296</v>
      </c>
    </row>
    <row r="8" spans="1:47" x14ac:dyDescent="0.2">
      <c r="A8">
        <v>2026</v>
      </c>
      <c r="B8" s="56">
        <v>45998.525891203702</v>
      </c>
      <c r="C8" t="s">
        <v>132</v>
      </c>
      <c r="D8" t="s">
        <v>182</v>
      </c>
      <c r="E8" t="s">
        <v>183</v>
      </c>
      <c r="F8">
        <v>0</v>
      </c>
      <c r="G8">
        <v>3</v>
      </c>
      <c r="H8">
        <v>0</v>
      </c>
      <c r="I8">
        <v>0</v>
      </c>
      <c r="J8">
        <v>0</v>
      </c>
      <c r="K8">
        <v>0</v>
      </c>
      <c r="L8">
        <v>0</v>
      </c>
      <c r="M8">
        <v>0</v>
      </c>
      <c r="N8">
        <v>0</v>
      </c>
      <c r="O8">
        <v>0</v>
      </c>
      <c r="P8">
        <v>0</v>
      </c>
      <c r="Q8">
        <v>3</v>
      </c>
      <c r="R8">
        <v>0</v>
      </c>
      <c r="S8" t="s">
        <v>73</v>
      </c>
      <c r="T8" s="56">
        <v>46004.474756944444</v>
      </c>
    </row>
    <row r="9" spans="1:47" x14ac:dyDescent="0.2">
      <c r="A9">
        <v>2031</v>
      </c>
      <c r="B9" s="56">
        <v>45999.85560185185</v>
      </c>
      <c r="C9" t="s">
        <v>132</v>
      </c>
      <c r="D9" t="s">
        <v>192</v>
      </c>
      <c r="E9" t="s">
        <v>193</v>
      </c>
      <c r="F9">
        <v>0</v>
      </c>
      <c r="G9">
        <v>0</v>
      </c>
      <c r="H9">
        <v>0</v>
      </c>
      <c r="I9">
        <v>0</v>
      </c>
      <c r="J9">
        <v>0</v>
      </c>
      <c r="K9">
        <v>0</v>
      </c>
      <c r="L9">
        <v>0</v>
      </c>
      <c r="M9">
        <v>0</v>
      </c>
      <c r="N9">
        <v>0</v>
      </c>
      <c r="O9">
        <v>0</v>
      </c>
      <c r="P9">
        <v>0</v>
      </c>
      <c r="Q9">
        <v>0</v>
      </c>
      <c r="R9">
        <v>0</v>
      </c>
      <c r="S9" t="s">
        <v>73</v>
      </c>
      <c r="T9" s="56">
        <v>46004.475370370368</v>
      </c>
    </row>
    <row r="10" spans="1:47" x14ac:dyDescent="0.2">
      <c r="A10">
        <v>2040</v>
      </c>
      <c r="B10" s="56">
        <v>46001.895069444443</v>
      </c>
      <c r="C10" t="s">
        <v>132</v>
      </c>
      <c r="D10" t="s">
        <v>206</v>
      </c>
      <c r="E10" t="s">
        <v>207</v>
      </c>
      <c r="F10">
        <v>4</v>
      </c>
      <c r="G10">
        <v>3</v>
      </c>
      <c r="H10">
        <v>0</v>
      </c>
      <c r="I10">
        <v>0</v>
      </c>
      <c r="J10">
        <v>0</v>
      </c>
      <c r="K10">
        <v>0</v>
      </c>
      <c r="L10">
        <v>0</v>
      </c>
      <c r="M10">
        <v>0</v>
      </c>
      <c r="N10">
        <v>1</v>
      </c>
      <c r="O10">
        <v>0</v>
      </c>
      <c r="P10">
        <v>0</v>
      </c>
      <c r="Q10">
        <v>8</v>
      </c>
      <c r="R10">
        <v>0</v>
      </c>
      <c r="S10" t="s">
        <v>73</v>
      </c>
      <c r="T10" s="56">
        <v>46004.475543981483</v>
      </c>
    </row>
    <row r="11" spans="1:47" x14ac:dyDescent="0.2">
      <c r="A11">
        <v>2048</v>
      </c>
      <c r="B11" s="56">
        <v>46003.656134259261</v>
      </c>
      <c r="C11" t="s">
        <v>132</v>
      </c>
      <c r="D11" t="s">
        <v>216</v>
      </c>
      <c r="E11" t="s">
        <v>217</v>
      </c>
      <c r="F11">
        <v>9</v>
      </c>
      <c r="G11">
        <v>0</v>
      </c>
      <c r="H11">
        <v>0</v>
      </c>
      <c r="I11">
        <v>3</v>
      </c>
      <c r="J11">
        <v>0</v>
      </c>
      <c r="K11">
        <v>0</v>
      </c>
      <c r="L11">
        <v>0</v>
      </c>
      <c r="M11">
        <v>0</v>
      </c>
      <c r="N11">
        <v>0</v>
      </c>
      <c r="O11">
        <v>0</v>
      </c>
      <c r="P11">
        <v>0</v>
      </c>
      <c r="Q11">
        <v>12</v>
      </c>
      <c r="R11">
        <v>3</v>
      </c>
      <c r="S11" t="s">
        <v>73</v>
      </c>
      <c r="T11" s="56">
        <v>46004.476111111115</v>
      </c>
    </row>
    <row r="12" spans="1:47" x14ac:dyDescent="0.2">
      <c r="A12">
        <v>2049</v>
      </c>
      <c r="B12" s="56">
        <v>46003.77034722222</v>
      </c>
      <c r="C12" t="s">
        <v>132</v>
      </c>
      <c r="D12" t="s">
        <v>224</v>
      </c>
      <c r="E12" t="s">
        <v>225</v>
      </c>
      <c r="F12">
        <v>14</v>
      </c>
      <c r="G12">
        <v>4</v>
      </c>
      <c r="H12">
        <v>0</v>
      </c>
      <c r="I12">
        <v>2</v>
      </c>
      <c r="J12">
        <v>0</v>
      </c>
      <c r="K12">
        <v>4</v>
      </c>
      <c r="L12">
        <v>3</v>
      </c>
      <c r="M12">
        <v>0</v>
      </c>
      <c r="N12">
        <v>3</v>
      </c>
      <c r="O12">
        <v>3</v>
      </c>
      <c r="P12">
        <v>0</v>
      </c>
      <c r="Q12">
        <v>33</v>
      </c>
      <c r="R12">
        <v>2</v>
      </c>
      <c r="S12" t="s">
        <v>73</v>
      </c>
      <c r="T12" s="56">
        <v>46004.476273148146</v>
      </c>
    </row>
    <row r="13" spans="1:47" x14ac:dyDescent="0.2">
      <c r="A13">
        <v>2057</v>
      </c>
      <c r="B13" s="56">
        <v>46004.376134259262</v>
      </c>
      <c r="C13" t="s">
        <v>132</v>
      </c>
      <c r="D13" t="s">
        <v>238</v>
      </c>
      <c r="E13" t="s">
        <v>239</v>
      </c>
      <c r="F13">
        <v>14</v>
      </c>
      <c r="G13">
        <v>10</v>
      </c>
      <c r="H13">
        <v>0</v>
      </c>
      <c r="I13">
        <v>4</v>
      </c>
      <c r="J13">
        <v>0</v>
      </c>
      <c r="K13">
        <v>0</v>
      </c>
      <c r="L13">
        <v>0</v>
      </c>
      <c r="M13">
        <v>0</v>
      </c>
      <c r="N13">
        <v>0</v>
      </c>
      <c r="O13">
        <v>0</v>
      </c>
      <c r="P13">
        <v>0</v>
      </c>
      <c r="Q13">
        <v>28</v>
      </c>
      <c r="R13">
        <v>4</v>
      </c>
      <c r="S13" t="s">
        <v>73</v>
      </c>
      <c r="T13" s="56">
        <v>46004.476435185185</v>
      </c>
    </row>
    <row r="14" spans="1:47" x14ac:dyDescent="0.2">
      <c r="A14">
        <v>2061</v>
      </c>
      <c r="B14" s="56">
        <v>46005.553576388891</v>
      </c>
      <c r="C14" t="s">
        <v>132</v>
      </c>
      <c r="D14" t="s">
        <v>251</v>
      </c>
      <c r="E14" t="s">
        <v>252</v>
      </c>
      <c r="F14">
        <v>8</v>
      </c>
      <c r="G14">
        <v>0</v>
      </c>
      <c r="H14">
        <v>0</v>
      </c>
      <c r="I14">
        <v>0</v>
      </c>
      <c r="J14">
        <v>0</v>
      </c>
      <c r="K14">
        <v>0</v>
      </c>
      <c r="L14">
        <v>0</v>
      </c>
      <c r="M14">
        <v>0</v>
      </c>
      <c r="N14">
        <v>1</v>
      </c>
      <c r="O14">
        <v>0</v>
      </c>
      <c r="P14">
        <v>0</v>
      </c>
      <c r="Q14">
        <v>9</v>
      </c>
      <c r="R14">
        <v>0</v>
      </c>
      <c r="S14" t="s">
        <v>73</v>
      </c>
      <c r="T14" s="56">
        <v>46005.51190972222</v>
      </c>
    </row>
    <row r="15" spans="1:47" x14ac:dyDescent="0.2">
      <c r="A15">
        <v>2063</v>
      </c>
      <c r="B15" s="56">
        <v>46005.574571759258</v>
      </c>
      <c r="C15" t="s">
        <v>132</v>
      </c>
      <c r="D15" t="s">
        <v>248</v>
      </c>
      <c r="E15" t="s">
        <v>249</v>
      </c>
      <c r="F15">
        <v>0</v>
      </c>
      <c r="G15">
        <v>0</v>
      </c>
      <c r="H15">
        <v>0</v>
      </c>
      <c r="I15">
        <v>7</v>
      </c>
      <c r="J15">
        <v>0</v>
      </c>
      <c r="K15">
        <v>0</v>
      </c>
      <c r="L15">
        <v>0</v>
      </c>
      <c r="M15">
        <v>0</v>
      </c>
      <c r="N15">
        <v>0</v>
      </c>
      <c r="O15">
        <v>1</v>
      </c>
      <c r="P15">
        <v>6</v>
      </c>
      <c r="Q15">
        <v>14</v>
      </c>
      <c r="R15">
        <v>13</v>
      </c>
      <c r="S15" t="s">
        <v>73</v>
      </c>
      <c r="T15" s="56">
        <v>46005.532905092594</v>
      </c>
    </row>
    <row r="16" spans="1:47" x14ac:dyDescent="0.2">
      <c r="A16">
        <v>2066</v>
      </c>
      <c r="B16" s="56">
        <v>46005.802800925929</v>
      </c>
      <c r="C16" t="s">
        <v>132</v>
      </c>
      <c r="D16" t="s">
        <v>291</v>
      </c>
      <c r="E16" t="s">
        <v>292</v>
      </c>
      <c r="F16">
        <v>6</v>
      </c>
      <c r="G16">
        <v>0</v>
      </c>
      <c r="H16">
        <v>0</v>
      </c>
      <c r="I16">
        <v>0</v>
      </c>
      <c r="J16">
        <v>0</v>
      </c>
      <c r="K16">
        <v>0</v>
      </c>
      <c r="L16">
        <v>0</v>
      </c>
      <c r="M16">
        <v>0</v>
      </c>
      <c r="N16">
        <v>0</v>
      </c>
      <c r="O16">
        <v>0</v>
      </c>
      <c r="P16">
        <v>0</v>
      </c>
      <c r="Q16">
        <v>6</v>
      </c>
      <c r="R16">
        <v>0</v>
      </c>
      <c r="S16" t="s">
        <v>73</v>
      </c>
      <c r="T16" s="56">
        <v>46005.761134259257</v>
      </c>
    </row>
    <row r="17" spans="1:20" x14ac:dyDescent="0.2">
      <c r="A17">
        <v>2067</v>
      </c>
      <c r="B17" s="56">
        <v>46005.900960648149</v>
      </c>
      <c r="C17" t="s">
        <v>132</v>
      </c>
      <c r="D17" t="s">
        <v>266</v>
      </c>
      <c r="E17" t="s">
        <v>267</v>
      </c>
      <c r="F17">
        <v>4</v>
      </c>
      <c r="G17">
        <v>0</v>
      </c>
      <c r="H17">
        <v>0</v>
      </c>
      <c r="I17">
        <v>0</v>
      </c>
      <c r="J17">
        <v>0</v>
      </c>
      <c r="K17">
        <v>4</v>
      </c>
      <c r="L17">
        <v>0</v>
      </c>
      <c r="M17">
        <v>0</v>
      </c>
      <c r="N17">
        <v>0</v>
      </c>
      <c r="O17">
        <v>0</v>
      </c>
      <c r="P17">
        <v>0</v>
      </c>
      <c r="Q17">
        <v>8</v>
      </c>
      <c r="R17">
        <v>0</v>
      </c>
      <c r="S17" t="s">
        <v>73</v>
      </c>
      <c r="T17" s="56">
        <v>46005.859293981484</v>
      </c>
    </row>
    <row r="18" spans="1:20" x14ac:dyDescent="0.2">
      <c r="A18">
        <v>2077</v>
      </c>
      <c r="B18" s="56">
        <v>46006.551620370374</v>
      </c>
      <c r="C18" t="s">
        <v>132</v>
      </c>
      <c r="D18" t="s">
        <v>278</v>
      </c>
      <c r="E18" t="s">
        <v>279</v>
      </c>
      <c r="F18">
        <v>6</v>
      </c>
      <c r="G18">
        <v>3</v>
      </c>
      <c r="H18">
        <v>0</v>
      </c>
      <c r="I18">
        <v>0</v>
      </c>
      <c r="J18">
        <v>0</v>
      </c>
      <c r="K18">
        <v>0</v>
      </c>
      <c r="L18">
        <v>0</v>
      </c>
      <c r="M18">
        <v>0</v>
      </c>
      <c r="N18">
        <v>0</v>
      </c>
      <c r="O18">
        <v>1</v>
      </c>
      <c r="P18">
        <v>0</v>
      </c>
      <c r="Q18">
        <v>10</v>
      </c>
      <c r="R18">
        <v>0</v>
      </c>
      <c r="S18" t="s">
        <v>73</v>
      </c>
      <c r="T18" s="56">
        <v>46006.509953703702</v>
      </c>
    </row>
    <row r="19" spans="1:20" x14ac:dyDescent="0.2">
      <c r="A19">
        <v>2078</v>
      </c>
      <c r="B19" s="56">
        <v>46006.589444444442</v>
      </c>
      <c r="C19" t="s">
        <v>132</v>
      </c>
      <c r="D19" t="s">
        <v>271</v>
      </c>
      <c r="E19" t="s">
        <v>272</v>
      </c>
      <c r="F19">
        <v>0</v>
      </c>
      <c r="G19">
        <v>5</v>
      </c>
      <c r="H19">
        <v>0</v>
      </c>
      <c r="I19">
        <v>0</v>
      </c>
      <c r="J19">
        <v>0</v>
      </c>
      <c r="K19">
        <v>0</v>
      </c>
      <c r="L19">
        <v>0</v>
      </c>
      <c r="M19">
        <v>0</v>
      </c>
      <c r="N19">
        <v>0</v>
      </c>
      <c r="O19">
        <v>0</v>
      </c>
      <c r="P19">
        <v>0</v>
      </c>
      <c r="Q19">
        <v>5</v>
      </c>
      <c r="R19">
        <v>0</v>
      </c>
      <c r="S19" t="s">
        <v>73</v>
      </c>
      <c r="T19" s="56">
        <v>46006.547777777778</v>
      </c>
    </row>
    <row r="20" spans="1:20" x14ac:dyDescent="0.2">
      <c r="A20">
        <v>2089</v>
      </c>
      <c r="B20" s="56">
        <v>46007.963252314818</v>
      </c>
      <c r="C20" t="s">
        <v>132</v>
      </c>
      <c r="D20" t="s">
        <v>294</v>
      </c>
      <c r="E20" t="s">
        <v>295</v>
      </c>
      <c r="F20">
        <v>5</v>
      </c>
      <c r="G20">
        <v>0</v>
      </c>
      <c r="H20">
        <v>0</v>
      </c>
      <c r="I20">
        <v>0</v>
      </c>
      <c r="J20">
        <v>0</v>
      </c>
      <c r="K20">
        <v>0</v>
      </c>
      <c r="L20">
        <v>0</v>
      </c>
      <c r="M20">
        <v>0</v>
      </c>
      <c r="N20">
        <v>0</v>
      </c>
      <c r="O20">
        <v>0</v>
      </c>
      <c r="P20">
        <v>0</v>
      </c>
      <c r="Q20">
        <v>5</v>
      </c>
      <c r="R20">
        <v>0</v>
      </c>
      <c r="S20" t="s">
        <v>73</v>
      </c>
      <c r="T20" s="56">
        <v>46007.921585648146</v>
      </c>
    </row>
    <row r="21" spans="1:20" x14ac:dyDescent="0.2">
      <c r="A21">
        <v>2092</v>
      </c>
      <c r="B21" s="56">
        <v>46011.04760416667</v>
      </c>
      <c r="C21" t="s">
        <v>132</v>
      </c>
      <c r="D21" t="s">
        <v>302</v>
      </c>
      <c r="E21" t="s">
        <v>303</v>
      </c>
      <c r="F21">
        <v>10</v>
      </c>
      <c r="G21">
        <v>0</v>
      </c>
      <c r="H21">
        <v>0</v>
      </c>
      <c r="I21">
        <v>0</v>
      </c>
      <c r="J21">
        <v>0</v>
      </c>
      <c r="K21">
        <v>0</v>
      </c>
      <c r="L21">
        <v>0</v>
      </c>
      <c r="M21">
        <v>0</v>
      </c>
      <c r="N21">
        <v>0</v>
      </c>
      <c r="O21">
        <v>0</v>
      </c>
      <c r="P21">
        <v>0</v>
      </c>
      <c r="Q21">
        <v>10</v>
      </c>
      <c r="R21">
        <v>0</v>
      </c>
      <c r="S21" t="s">
        <v>73</v>
      </c>
      <c r="T21" s="56">
        <v>46011.005937499998</v>
      </c>
    </row>
    <row r="22" spans="1:20" x14ac:dyDescent="0.2">
      <c r="A22">
        <v>2096</v>
      </c>
      <c r="B22" s="56">
        <v>46011.534317129626</v>
      </c>
      <c r="C22" t="s">
        <v>132</v>
      </c>
      <c r="D22" t="s">
        <v>305</v>
      </c>
      <c r="E22" t="s">
        <v>306</v>
      </c>
      <c r="F22">
        <v>10</v>
      </c>
      <c r="G22">
        <v>0</v>
      </c>
      <c r="H22">
        <v>0</v>
      </c>
      <c r="I22">
        <v>3</v>
      </c>
      <c r="J22">
        <v>0</v>
      </c>
      <c r="K22">
        <v>0</v>
      </c>
      <c r="L22">
        <v>0</v>
      </c>
      <c r="M22">
        <v>0</v>
      </c>
      <c r="N22">
        <v>0</v>
      </c>
      <c r="O22">
        <v>0</v>
      </c>
      <c r="P22">
        <v>0</v>
      </c>
      <c r="Q22">
        <v>13</v>
      </c>
      <c r="R22">
        <v>3</v>
      </c>
      <c r="S22" t="s">
        <v>319</v>
      </c>
      <c r="T22" s="56">
        <v>46061.426863425928</v>
      </c>
    </row>
    <row r="23" spans="1:20" x14ac:dyDescent="0.2">
      <c r="A23">
        <v>2099</v>
      </c>
      <c r="B23" s="56">
        <v>46011.575671296298</v>
      </c>
      <c r="C23" t="s">
        <v>132</v>
      </c>
      <c r="D23" t="s">
        <v>316</v>
      </c>
      <c r="E23" t="s">
        <v>317</v>
      </c>
      <c r="F23">
        <v>9</v>
      </c>
      <c r="G23">
        <v>9</v>
      </c>
      <c r="H23">
        <v>0</v>
      </c>
      <c r="I23">
        <v>5</v>
      </c>
      <c r="J23">
        <v>0</v>
      </c>
      <c r="K23">
        <v>0</v>
      </c>
      <c r="L23">
        <v>0</v>
      </c>
      <c r="M23">
        <v>0</v>
      </c>
      <c r="N23">
        <v>0</v>
      </c>
      <c r="O23">
        <v>0</v>
      </c>
      <c r="P23">
        <v>0</v>
      </c>
      <c r="Q23">
        <v>23</v>
      </c>
      <c r="R23">
        <v>5</v>
      </c>
      <c r="S23" t="s">
        <v>73</v>
      </c>
      <c r="T23" s="56">
        <v>46011.534004629626</v>
      </c>
    </row>
    <row r="24" spans="1:20" x14ac:dyDescent="0.2">
      <c r="A24">
        <v>2102</v>
      </c>
      <c r="B24" s="56">
        <v>46011.791608796295</v>
      </c>
      <c r="C24" t="s">
        <v>132</v>
      </c>
      <c r="D24" t="s">
        <v>322</v>
      </c>
      <c r="E24" t="s">
        <v>323</v>
      </c>
      <c r="F24">
        <v>6</v>
      </c>
      <c r="G24">
        <v>4</v>
      </c>
      <c r="H24">
        <v>0</v>
      </c>
      <c r="I24">
        <v>0</v>
      </c>
      <c r="J24">
        <v>0</v>
      </c>
      <c r="K24">
        <v>0</v>
      </c>
      <c r="L24">
        <v>0</v>
      </c>
      <c r="M24">
        <v>0</v>
      </c>
      <c r="N24">
        <v>2</v>
      </c>
      <c r="O24">
        <v>1</v>
      </c>
      <c r="P24">
        <v>0</v>
      </c>
      <c r="Q24">
        <v>13</v>
      </c>
      <c r="R24">
        <v>0</v>
      </c>
      <c r="S24" t="s">
        <v>73</v>
      </c>
      <c r="T24" s="56">
        <v>46011.749942129631</v>
      </c>
    </row>
    <row r="25" spans="1:20" x14ac:dyDescent="0.2">
      <c r="A25">
        <v>2106</v>
      </c>
      <c r="B25" s="56">
        <v>46012.641736111109</v>
      </c>
      <c r="C25" t="s">
        <v>132</v>
      </c>
      <c r="D25" t="s">
        <v>353</v>
      </c>
      <c r="E25" t="s">
        <v>354</v>
      </c>
      <c r="F25">
        <v>6</v>
      </c>
      <c r="G25">
        <v>0</v>
      </c>
      <c r="H25">
        <v>0</v>
      </c>
      <c r="I25">
        <v>7</v>
      </c>
      <c r="J25">
        <v>0</v>
      </c>
      <c r="K25">
        <v>0</v>
      </c>
      <c r="L25">
        <v>0</v>
      </c>
      <c r="M25">
        <v>0</v>
      </c>
      <c r="N25">
        <v>0</v>
      </c>
      <c r="O25">
        <v>0</v>
      </c>
      <c r="P25">
        <v>0</v>
      </c>
      <c r="Q25">
        <v>13</v>
      </c>
      <c r="R25">
        <v>7</v>
      </c>
      <c r="S25" t="s">
        <v>73</v>
      </c>
      <c r="T25" s="56">
        <v>46012.600069444445</v>
      </c>
    </row>
    <row r="26" spans="1:20" x14ac:dyDescent="0.2">
      <c r="A26">
        <v>2107</v>
      </c>
      <c r="B26" s="56">
        <v>46013.450543981482</v>
      </c>
      <c r="C26" t="s">
        <v>132</v>
      </c>
      <c r="D26" t="s">
        <v>343</v>
      </c>
      <c r="E26" t="s">
        <v>344</v>
      </c>
      <c r="F26">
        <v>11</v>
      </c>
      <c r="G26">
        <v>4</v>
      </c>
      <c r="H26">
        <v>0</v>
      </c>
      <c r="I26">
        <v>9</v>
      </c>
      <c r="J26">
        <v>0</v>
      </c>
      <c r="K26">
        <v>10</v>
      </c>
      <c r="L26">
        <v>4</v>
      </c>
      <c r="M26">
        <v>0</v>
      </c>
      <c r="N26">
        <v>0</v>
      </c>
      <c r="O26">
        <v>3</v>
      </c>
      <c r="P26">
        <v>1</v>
      </c>
      <c r="Q26">
        <v>42</v>
      </c>
      <c r="R26">
        <v>10</v>
      </c>
      <c r="S26" t="s">
        <v>355</v>
      </c>
      <c r="T26" s="56">
        <v>46013.408877314818</v>
      </c>
    </row>
    <row r="27" spans="1:20" x14ac:dyDescent="0.2">
      <c r="A27">
        <v>2109</v>
      </c>
      <c r="B27" s="56">
        <v>46013.471168981479</v>
      </c>
      <c r="C27" t="s">
        <v>132</v>
      </c>
      <c r="D27" t="s">
        <v>339</v>
      </c>
      <c r="E27" t="s">
        <v>340</v>
      </c>
      <c r="F27">
        <v>6</v>
      </c>
      <c r="G27">
        <v>0</v>
      </c>
      <c r="H27">
        <v>0</v>
      </c>
      <c r="I27">
        <v>0</v>
      </c>
      <c r="J27">
        <v>0</v>
      </c>
      <c r="K27">
        <v>4</v>
      </c>
      <c r="L27">
        <v>0</v>
      </c>
      <c r="M27">
        <v>0</v>
      </c>
      <c r="N27">
        <v>3</v>
      </c>
      <c r="O27">
        <v>1</v>
      </c>
      <c r="P27">
        <v>0</v>
      </c>
      <c r="Q27">
        <v>14</v>
      </c>
      <c r="R27">
        <v>0</v>
      </c>
      <c r="S27" t="s">
        <v>73</v>
      </c>
      <c r="T27" s="56">
        <v>46013.429502314815</v>
      </c>
    </row>
    <row r="28" spans="1:20" x14ac:dyDescent="0.2">
      <c r="A28">
        <v>2115</v>
      </c>
      <c r="B28" s="56">
        <v>46013.520925925928</v>
      </c>
      <c r="C28" t="s">
        <v>132</v>
      </c>
      <c r="D28" t="s">
        <v>336</v>
      </c>
      <c r="E28" t="s">
        <v>337</v>
      </c>
      <c r="F28">
        <v>0</v>
      </c>
      <c r="G28">
        <v>0</v>
      </c>
      <c r="H28">
        <v>0</v>
      </c>
      <c r="I28">
        <v>0</v>
      </c>
      <c r="J28">
        <v>0</v>
      </c>
      <c r="K28">
        <v>0</v>
      </c>
      <c r="L28">
        <v>0</v>
      </c>
      <c r="M28">
        <v>0</v>
      </c>
      <c r="N28">
        <v>0</v>
      </c>
      <c r="O28">
        <v>0</v>
      </c>
      <c r="P28">
        <v>0</v>
      </c>
      <c r="Q28">
        <v>0</v>
      </c>
      <c r="R28">
        <v>0</v>
      </c>
      <c r="S28" t="s">
        <v>356</v>
      </c>
      <c r="T28" s="56">
        <v>46013.479259259257</v>
      </c>
    </row>
    <row r="29" spans="1:20" x14ac:dyDescent="0.2">
      <c r="A29">
        <v>2122</v>
      </c>
      <c r="B29" s="56">
        <v>46014.653761574074</v>
      </c>
      <c r="C29" t="s">
        <v>132</v>
      </c>
      <c r="D29" t="s">
        <v>357</v>
      </c>
      <c r="E29" t="s">
        <v>358</v>
      </c>
      <c r="F29">
        <v>10</v>
      </c>
      <c r="G29">
        <v>6</v>
      </c>
      <c r="H29">
        <v>0</v>
      </c>
      <c r="I29">
        <v>4</v>
      </c>
      <c r="J29">
        <v>0</v>
      </c>
      <c r="K29">
        <v>4</v>
      </c>
      <c r="L29">
        <v>0</v>
      </c>
      <c r="M29">
        <v>0</v>
      </c>
      <c r="N29">
        <v>0</v>
      </c>
      <c r="O29">
        <v>0</v>
      </c>
      <c r="P29">
        <v>0</v>
      </c>
      <c r="Q29">
        <v>24</v>
      </c>
      <c r="R29">
        <v>4</v>
      </c>
      <c r="S29" t="s">
        <v>73</v>
      </c>
      <c r="T29" s="56">
        <v>46014.61209490741</v>
      </c>
    </row>
    <row r="30" spans="1:20" x14ac:dyDescent="0.2">
      <c r="A30">
        <v>2123</v>
      </c>
      <c r="B30" s="56">
        <v>46014.793564814812</v>
      </c>
      <c r="C30" t="s">
        <v>132</v>
      </c>
      <c r="D30" t="s">
        <v>379</v>
      </c>
      <c r="E30" t="s">
        <v>380</v>
      </c>
      <c r="F30">
        <v>5</v>
      </c>
      <c r="G30">
        <v>0</v>
      </c>
      <c r="H30">
        <v>0</v>
      </c>
      <c r="I30">
        <v>0</v>
      </c>
      <c r="J30">
        <v>0</v>
      </c>
      <c r="K30">
        <v>0</v>
      </c>
      <c r="L30">
        <v>0</v>
      </c>
      <c r="M30">
        <v>0</v>
      </c>
      <c r="N30">
        <v>0</v>
      </c>
      <c r="O30">
        <v>0</v>
      </c>
      <c r="P30">
        <v>0</v>
      </c>
      <c r="Q30">
        <v>5</v>
      </c>
      <c r="R30">
        <v>0</v>
      </c>
      <c r="S30" t="s">
        <v>73</v>
      </c>
      <c r="T30" s="56">
        <v>46014.751898148148</v>
      </c>
    </row>
    <row r="31" spans="1:20" x14ac:dyDescent="0.2">
      <c r="A31">
        <v>2131</v>
      </c>
      <c r="B31" s="56">
        <v>46016.653622685182</v>
      </c>
      <c r="C31" t="s">
        <v>132</v>
      </c>
      <c r="D31" t="s">
        <v>389</v>
      </c>
      <c r="E31" t="s">
        <v>390</v>
      </c>
      <c r="F31">
        <v>13</v>
      </c>
      <c r="G31">
        <v>8</v>
      </c>
      <c r="H31">
        <v>0</v>
      </c>
      <c r="I31">
        <v>6</v>
      </c>
      <c r="J31">
        <v>0</v>
      </c>
      <c r="K31">
        <v>9</v>
      </c>
      <c r="L31">
        <v>0</v>
      </c>
      <c r="M31">
        <v>0</v>
      </c>
      <c r="N31">
        <v>0</v>
      </c>
      <c r="O31">
        <v>0</v>
      </c>
      <c r="P31">
        <v>0</v>
      </c>
      <c r="Q31">
        <v>36</v>
      </c>
      <c r="R31">
        <v>6</v>
      </c>
      <c r="S31" t="s">
        <v>73</v>
      </c>
      <c r="T31" s="56">
        <v>46016.611956018518</v>
      </c>
    </row>
    <row r="32" spans="1:20" x14ac:dyDescent="0.2">
      <c r="A32">
        <v>2133</v>
      </c>
      <c r="B32" s="56">
        <v>46017.417627314811</v>
      </c>
      <c r="C32" t="s">
        <v>132</v>
      </c>
      <c r="D32" t="s">
        <v>386</v>
      </c>
      <c r="E32" t="s">
        <v>387</v>
      </c>
      <c r="F32">
        <v>5</v>
      </c>
      <c r="G32">
        <v>0</v>
      </c>
      <c r="H32">
        <v>0</v>
      </c>
      <c r="I32">
        <v>0</v>
      </c>
      <c r="J32">
        <v>0</v>
      </c>
      <c r="K32">
        <v>0</v>
      </c>
      <c r="L32">
        <v>0</v>
      </c>
      <c r="M32">
        <v>0</v>
      </c>
      <c r="N32">
        <v>0</v>
      </c>
      <c r="O32">
        <v>0</v>
      </c>
      <c r="P32">
        <v>0</v>
      </c>
      <c r="Q32">
        <v>5</v>
      </c>
      <c r="R32">
        <v>0</v>
      </c>
      <c r="S32" t="s">
        <v>73</v>
      </c>
      <c r="T32" s="56">
        <v>46017.375960648147</v>
      </c>
    </row>
    <row r="33" spans="1:20" x14ac:dyDescent="0.2">
      <c r="A33">
        <v>2137</v>
      </c>
      <c r="B33" s="56">
        <v>46017.520115740743</v>
      </c>
      <c r="C33" t="s">
        <v>132</v>
      </c>
      <c r="D33" t="s">
        <v>394</v>
      </c>
      <c r="E33" t="s">
        <v>395</v>
      </c>
      <c r="F33">
        <v>16</v>
      </c>
      <c r="G33">
        <v>0</v>
      </c>
      <c r="H33">
        <v>0</v>
      </c>
      <c r="I33">
        <v>0</v>
      </c>
      <c r="J33">
        <v>0</v>
      </c>
      <c r="K33">
        <v>0</v>
      </c>
      <c r="L33">
        <v>0</v>
      </c>
      <c r="M33">
        <v>0</v>
      </c>
      <c r="N33">
        <v>0</v>
      </c>
      <c r="O33">
        <v>0</v>
      </c>
      <c r="P33">
        <v>0</v>
      </c>
      <c r="Q33">
        <v>16</v>
      </c>
      <c r="R33">
        <v>0</v>
      </c>
      <c r="S33" t="s">
        <v>73</v>
      </c>
      <c r="T33" s="56">
        <v>46017.478449074071</v>
      </c>
    </row>
    <row r="34" spans="1:20" x14ac:dyDescent="0.2">
      <c r="A34">
        <v>2142</v>
      </c>
      <c r="B34" s="56">
        <v>46018.565532407411</v>
      </c>
      <c r="C34" t="s">
        <v>132</v>
      </c>
      <c r="D34" t="s">
        <v>399</v>
      </c>
      <c r="E34" t="s">
        <v>400</v>
      </c>
      <c r="F34">
        <v>8</v>
      </c>
      <c r="G34">
        <v>0</v>
      </c>
      <c r="H34">
        <v>0</v>
      </c>
      <c r="I34">
        <v>0</v>
      </c>
      <c r="J34">
        <v>0</v>
      </c>
      <c r="K34">
        <v>4</v>
      </c>
      <c r="L34">
        <v>0</v>
      </c>
      <c r="M34">
        <v>0</v>
      </c>
      <c r="N34">
        <v>2</v>
      </c>
      <c r="O34">
        <v>0</v>
      </c>
      <c r="P34">
        <v>0</v>
      </c>
      <c r="Q34">
        <v>14</v>
      </c>
      <c r="R34">
        <v>0</v>
      </c>
      <c r="S34" t="s">
        <v>73</v>
      </c>
      <c r="T34" s="56">
        <v>46018.523865740739</v>
      </c>
    </row>
    <row r="35" spans="1:20" x14ac:dyDescent="0.2">
      <c r="A35">
        <v>2148</v>
      </c>
      <c r="B35" s="56">
        <v>46019.613437499997</v>
      </c>
      <c r="C35" t="s">
        <v>132</v>
      </c>
      <c r="D35" t="s">
        <v>410</v>
      </c>
      <c r="E35" t="s">
        <v>411</v>
      </c>
      <c r="F35">
        <v>4</v>
      </c>
      <c r="G35">
        <v>4</v>
      </c>
      <c r="H35">
        <v>0</v>
      </c>
      <c r="I35">
        <v>3</v>
      </c>
      <c r="J35">
        <v>0</v>
      </c>
      <c r="K35">
        <v>0</v>
      </c>
      <c r="L35">
        <v>0</v>
      </c>
      <c r="M35">
        <v>0</v>
      </c>
      <c r="N35">
        <v>0</v>
      </c>
      <c r="O35">
        <v>0</v>
      </c>
      <c r="P35">
        <v>0</v>
      </c>
      <c r="Q35">
        <v>11</v>
      </c>
      <c r="R35">
        <v>3</v>
      </c>
      <c r="S35" t="s">
        <v>73</v>
      </c>
      <c r="T35" s="56">
        <v>46019.571770833332</v>
      </c>
    </row>
    <row r="36" spans="1:20" x14ac:dyDescent="0.2">
      <c r="A36">
        <v>2149</v>
      </c>
      <c r="B36" s="56">
        <v>46019.626481481479</v>
      </c>
      <c r="C36" t="s">
        <v>132</v>
      </c>
      <c r="D36" t="s">
        <v>413</v>
      </c>
      <c r="E36" t="s">
        <v>414</v>
      </c>
      <c r="F36">
        <v>0</v>
      </c>
      <c r="G36">
        <v>6</v>
      </c>
      <c r="H36">
        <v>0</v>
      </c>
      <c r="I36">
        <v>8</v>
      </c>
      <c r="J36">
        <v>0</v>
      </c>
      <c r="K36">
        <v>0</v>
      </c>
      <c r="L36">
        <v>0</v>
      </c>
      <c r="M36">
        <v>0</v>
      </c>
      <c r="N36">
        <v>0</v>
      </c>
      <c r="O36">
        <v>0</v>
      </c>
      <c r="P36">
        <v>0</v>
      </c>
      <c r="Q36">
        <v>14</v>
      </c>
      <c r="R36">
        <v>8</v>
      </c>
      <c r="S36" t="s">
        <v>419</v>
      </c>
      <c r="T36" s="56">
        <v>46019.584814814814</v>
      </c>
    </row>
    <row r="37" spans="1:20" x14ac:dyDescent="0.2">
      <c r="A37">
        <v>2156</v>
      </c>
      <c r="B37" s="56">
        <v>46019.960046296299</v>
      </c>
      <c r="C37" t="s">
        <v>132</v>
      </c>
      <c r="D37" t="s">
        <v>424</v>
      </c>
      <c r="E37" t="s">
        <v>425</v>
      </c>
      <c r="F37">
        <v>12</v>
      </c>
      <c r="G37">
        <v>4</v>
      </c>
      <c r="H37">
        <v>0</v>
      </c>
      <c r="I37">
        <v>0</v>
      </c>
      <c r="J37">
        <v>0</v>
      </c>
      <c r="K37">
        <v>0</v>
      </c>
      <c r="L37">
        <v>0</v>
      </c>
      <c r="M37">
        <v>0</v>
      </c>
      <c r="N37">
        <v>0</v>
      </c>
      <c r="O37">
        <v>0</v>
      </c>
      <c r="P37">
        <v>0</v>
      </c>
      <c r="Q37">
        <v>16</v>
      </c>
      <c r="R37">
        <v>0</v>
      </c>
      <c r="S37" t="s">
        <v>428</v>
      </c>
      <c r="T37" s="56">
        <v>46019.918379629627</v>
      </c>
    </row>
    <row r="38" spans="1:20" x14ac:dyDescent="0.2">
      <c r="A38">
        <v>2173</v>
      </c>
      <c r="B38" s="56">
        <v>46021.993888888886</v>
      </c>
      <c r="C38" t="s">
        <v>132</v>
      </c>
      <c r="D38" t="s">
        <v>444</v>
      </c>
      <c r="E38" t="s">
        <v>445</v>
      </c>
      <c r="F38">
        <v>8</v>
      </c>
      <c r="G38">
        <v>7</v>
      </c>
      <c r="H38">
        <v>0</v>
      </c>
      <c r="I38">
        <v>0</v>
      </c>
      <c r="J38">
        <v>0</v>
      </c>
      <c r="K38">
        <v>0</v>
      </c>
      <c r="L38">
        <v>0</v>
      </c>
      <c r="M38">
        <v>0</v>
      </c>
      <c r="N38">
        <v>0</v>
      </c>
      <c r="O38">
        <v>0</v>
      </c>
      <c r="P38">
        <v>0</v>
      </c>
      <c r="Q38">
        <v>15</v>
      </c>
      <c r="R38">
        <v>0</v>
      </c>
      <c r="S38" t="s">
        <v>73</v>
      </c>
      <c r="T38" s="56">
        <v>46021.952222222222</v>
      </c>
    </row>
    <row r="39" spans="1:20" x14ac:dyDescent="0.2">
      <c r="A39">
        <v>2179</v>
      </c>
      <c r="B39" s="56">
        <v>46023.626261574071</v>
      </c>
      <c r="C39" t="s">
        <v>132</v>
      </c>
      <c r="D39" t="s">
        <v>457</v>
      </c>
      <c r="E39" t="s">
        <v>458</v>
      </c>
      <c r="F39">
        <v>10</v>
      </c>
      <c r="G39">
        <v>4</v>
      </c>
      <c r="H39">
        <v>0</v>
      </c>
      <c r="I39">
        <v>0</v>
      </c>
      <c r="J39">
        <v>0</v>
      </c>
      <c r="K39">
        <v>0</v>
      </c>
      <c r="L39">
        <v>0</v>
      </c>
      <c r="M39">
        <v>0</v>
      </c>
      <c r="N39">
        <v>1</v>
      </c>
      <c r="O39">
        <v>0</v>
      </c>
      <c r="P39">
        <v>0</v>
      </c>
      <c r="Q39">
        <v>15</v>
      </c>
      <c r="R39">
        <v>0</v>
      </c>
      <c r="S39" t="s">
        <v>73</v>
      </c>
      <c r="T39" s="56">
        <v>46023.584594907406</v>
      </c>
    </row>
    <row r="40" spans="1:20" x14ac:dyDescent="0.2">
      <c r="A40">
        <v>2183</v>
      </c>
      <c r="B40" s="56">
        <v>46023.739814814813</v>
      </c>
      <c r="C40" t="s">
        <v>132</v>
      </c>
      <c r="D40" t="s">
        <v>461</v>
      </c>
      <c r="E40" t="s">
        <v>462</v>
      </c>
      <c r="F40">
        <v>6</v>
      </c>
      <c r="G40">
        <v>6</v>
      </c>
      <c r="H40">
        <v>0</v>
      </c>
      <c r="I40">
        <v>7</v>
      </c>
      <c r="J40">
        <v>0</v>
      </c>
      <c r="K40">
        <v>0</v>
      </c>
      <c r="L40">
        <v>0</v>
      </c>
      <c r="M40">
        <v>0</v>
      </c>
      <c r="N40">
        <v>0</v>
      </c>
      <c r="O40">
        <v>0</v>
      </c>
      <c r="P40">
        <v>0</v>
      </c>
      <c r="Q40">
        <v>19</v>
      </c>
      <c r="R40">
        <v>7</v>
      </c>
      <c r="S40" t="s">
        <v>73</v>
      </c>
      <c r="T40" s="56">
        <v>46023.698148148149</v>
      </c>
    </row>
    <row r="41" spans="1:20" x14ac:dyDescent="0.2">
      <c r="A41" t="s">
        <v>79</v>
      </c>
      <c r="E41">
        <f>SUBTOTAL(103,GKVI[Naam vereniging])</f>
        <v>34</v>
      </c>
      <c r="F41">
        <f>SUBTOTAL(109,GKVI[Korps klassiek senioren])</f>
        <v>229</v>
      </c>
      <c r="G41">
        <f>SUBTOTAL(109,GKVI[Korps 1 klassiek junioren])</f>
        <v>90</v>
      </c>
      <c r="H41">
        <f>SUBTOTAL(109,GKVI[Korps 2 klassiek junioren])</f>
        <v>0</v>
      </c>
      <c r="I41">
        <f>SUBTOTAL(109,GKVI[Korps 1 klassiek aspiranten])</f>
        <v>68</v>
      </c>
      <c r="J41">
        <f>SUBTOTAL(109,GKVI[Korps 2 klassiek aspiranten])</f>
        <v>0</v>
      </c>
      <c r="K41">
        <f>SUBTOTAL(109,GKVI[Korps acrob. senioren])</f>
        <v>39</v>
      </c>
      <c r="L41">
        <f>SUBTOTAL(109,GKVI[Korps acrob. junioren])</f>
        <v>7</v>
      </c>
      <c r="M41">
        <f>SUBTOTAL(109,GKVI[Korps acrob. aspiranten])</f>
        <v>0</v>
      </c>
      <c r="N41">
        <f>SUBTOTAL(109,GKVI[Acrob. senioren indiv.])</f>
        <v>13</v>
      </c>
      <c r="O41">
        <f>SUBTOTAL(109,GKVI[Acrob. junioren indiv.])</f>
        <v>10</v>
      </c>
      <c r="P41">
        <f>SUBTOTAL(109,GKVI[Acrob. aspiranten indiv.])</f>
        <v>7</v>
      </c>
      <c r="Q41">
        <f>SUBTOTAL(109,GKVI[Aantal deelnemers])</f>
        <v>463</v>
      </c>
    </row>
    <row r="43" spans="1:20" x14ac:dyDescent="0.2">
      <c r="D43" s="23"/>
    </row>
    <row r="44" spans="1:20" x14ac:dyDescent="0.2">
      <c r="D44" s="87"/>
      <c r="E44" s="87"/>
    </row>
  </sheetData>
  <mergeCells count="6">
    <mergeCell ref="F5:J5"/>
    <mergeCell ref="K5:M5"/>
    <mergeCell ref="N5:P5"/>
    <mergeCell ref="A5:E5"/>
    <mergeCell ref="C1:G1"/>
    <mergeCell ref="C2:G2"/>
  </mergeCells>
  <phoneticPr fontId="2" type="noConversion"/>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C9992-0072-43F1-83E6-036A14549315}">
  <dimension ref="A1:K29"/>
  <sheetViews>
    <sheetView zoomScale="110" zoomScaleNormal="110" workbookViewId="0">
      <selection activeCell="C1" sqref="C1:G2"/>
    </sheetView>
  </sheetViews>
  <sheetFormatPr baseColWidth="10" defaultColWidth="8.83203125" defaultRowHeight="15" x14ac:dyDescent="0.2"/>
  <cols>
    <col min="1" max="1" width="8.33203125" bestFit="1" customWidth="1"/>
    <col min="2" max="2" width="19.6640625" bestFit="1" customWidth="1"/>
    <col min="3" max="3" width="58.83203125" bestFit="1" customWidth="1"/>
    <col min="4" max="4" width="13.1640625" style="1" bestFit="1" customWidth="1"/>
    <col min="5" max="5" width="19.1640625" style="1" bestFit="1" customWidth="1"/>
    <col min="6" max="6" width="13" style="1" bestFit="1" customWidth="1"/>
    <col min="7" max="7" width="14.6640625" bestFit="1" customWidth="1"/>
    <col min="8" max="8" width="23.6640625" bestFit="1" customWidth="1"/>
    <col min="9" max="9" width="13.33203125" bestFit="1" customWidth="1"/>
    <col min="10" max="11" width="15" bestFit="1" customWidth="1"/>
  </cols>
  <sheetData>
    <row r="1" spans="1:11" ht="24" x14ac:dyDescent="0.3">
      <c r="C1" s="125" t="s">
        <v>167</v>
      </c>
      <c r="D1" s="125"/>
      <c r="E1" s="125"/>
      <c r="F1" s="125"/>
      <c r="G1" s="125"/>
    </row>
    <row r="2" spans="1:11" ht="16" x14ac:dyDescent="0.2">
      <c r="C2" s="126" t="s">
        <v>168</v>
      </c>
      <c r="D2" s="126"/>
      <c r="E2" s="126"/>
      <c r="F2" s="126"/>
      <c r="G2" s="126"/>
    </row>
    <row r="3" spans="1:11" ht="16" x14ac:dyDescent="0.2">
      <c r="C3" s="29"/>
      <c r="D3" s="29"/>
      <c r="E3" s="29"/>
      <c r="F3" s="29"/>
      <c r="G3" s="29"/>
    </row>
    <row r="4" spans="1:11" ht="17" x14ac:dyDescent="0.2">
      <c r="A4" s="30"/>
      <c r="B4" s="30" t="s">
        <v>96</v>
      </c>
      <c r="C4" s="30"/>
      <c r="D4" s="31" t="s">
        <v>126</v>
      </c>
      <c r="E4" s="31" t="s">
        <v>127</v>
      </c>
      <c r="F4" s="31" t="s">
        <v>127</v>
      </c>
      <c r="G4" s="31" t="s">
        <v>127</v>
      </c>
      <c r="H4" s="30"/>
      <c r="I4" s="30"/>
      <c r="J4" s="54"/>
      <c r="K4" s="54"/>
    </row>
    <row r="5" spans="1:11" x14ac:dyDescent="0.2">
      <c r="A5" s="2" t="s">
        <v>97</v>
      </c>
      <c r="B5" s="2" t="s">
        <v>131</v>
      </c>
      <c r="C5" s="2" t="s">
        <v>19</v>
      </c>
      <c r="D5" s="4" t="s">
        <v>38</v>
      </c>
      <c r="E5" s="4" t="s">
        <v>140</v>
      </c>
      <c r="F5" s="4" t="s">
        <v>39</v>
      </c>
      <c r="G5" s="4" t="s">
        <v>40</v>
      </c>
      <c r="H5" s="2" t="s">
        <v>98</v>
      </c>
      <c r="I5" s="2" t="s">
        <v>51</v>
      </c>
      <c r="J5" s="2" t="s">
        <v>52</v>
      </c>
      <c r="K5" s="2" t="s">
        <v>103</v>
      </c>
    </row>
    <row r="6" spans="1:11" x14ac:dyDescent="0.2">
      <c r="A6" t="s">
        <v>139</v>
      </c>
      <c r="B6" t="s">
        <v>159</v>
      </c>
      <c r="C6" t="s">
        <v>160</v>
      </c>
      <c r="D6">
        <v>4</v>
      </c>
      <c r="E6">
        <v>0</v>
      </c>
      <c r="F6">
        <v>0</v>
      </c>
      <c r="G6">
        <v>0</v>
      </c>
      <c r="H6" t="s">
        <v>73</v>
      </c>
      <c r="I6">
        <v>2021</v>
      </c>
      <c r="J6" s="56">
        <v>45993.666701388887</v>
      </c>
      <c r="K6" s="56">
        <v>45993.625034722223</v>
      </c>
    </row>
    <row r="7" spans="1:11" x14ac:dyDescent="0.2">
      <c r="A7" t="s">
        <v>139</v>
      </c>
      <c r="B7" t="s">
        <v>203</v>
      </c>
      <c r="C7" t="s">
        <v>204</v>
      </c>
      <c r="D7">
        <v>6</v>
      </c>
      <c r="E7">
        <v>0</v>
      </c>
      <c r="F7">
        <v>0</v>
      </c>
      <c r="G7">
        <v>0</v>
      </c>
      <c r="H7" t="s">
        <v>73</v>
      </c>
      <c r="I7">
        <v>2039</v>
      </c>
      <c r="J7" s="56">
        <v>46001.819432870368</v>
      </c>
      <c r="K7" s="56">
        <v>46001.777766203704</v>
      </c>
    </row>
    <row r="8" spans="1:11" x14ac:dyDescent="0.2">
      <c r="A8" t="s">
        <v>139</v>
      </c>
      <c r="B8" t="s">
        <v>209</v>
      </c>
      <c r="C8" t="s">
        <v>210</v>
      </c>
      <c r="D8">
        <v>10</v>
      </c>
      <c r="E8">
        <v>1</v>
      </c>
      <c r="F8">
        <v>0</v>
      </c>
      <c r="G8">
        <v>1</v>
      </c>
      <c r="H8" t="s">
        <v>73</v>
      </c>
      <c r="I8">
        <v>2044</v>
      </c>
      <c r="J8" s="56">
        <v>46002.971747685187</v>
      </c>
      <c r="K8" s="56">
        <v>46009.40552083333</v>
      </c>
    </row>
    <row r="9" spans="1:11" x14ac:dyDescent="0.2">
      <c r="A9" t="s">
        <v>139</v>
      </c>
      <c r="B9" t="s">
        <v>216</v>
      </c>
      <c r="C9" t="s">
        <v>217</v>
      </c>
      <c r="D9">
        <v>2</v>
      </c>
      <c r="E9">
        <v>1</v>
      </c>
      <c r="F9">
        <v>0</v>
      </c>
      <c r="G9">
        <v>1</v>
      </c>
      <c r="H9" t="s">
        <v>73</v>
      </c>
      <c r="I9">
        <v>2047</v>
      </c>
      <c r="J9" s="56">
        <v>46003.557025462964</v>
      </c>
      <c r="K9" s="56">
        <v>46003.5153587963</v>
      </c>
    </row>
    <row r="10" spans="1:11" x14ac:dyDescent="0.2">
      <c r="A10" t="s">
        <v>139</v>
      </c>
      <c r="B10" t="s">
        <v>224</v>
      </c>
      <c r="C10" t="s">
        <v>225</v>
      </c>
      <c r="D10">
        <v>2</v>
      </c>
      <c r="E10">
        <v>3</v>
      </c>
      <c r="F10">
        <v>0</v>
      </c>
      <c r="G10">
        <v>0</v>
      </c>
      <c r="H10" t="s">
        <v>73</v>
      </c>
      <c r="I10">
        <v>2053</v>
      </c>
      <c r="J10" s="56">
        <v>46003.790347222224</v>
      </c>
      <c r="K10" s="56">
        <v>46003.748680555553</v>
      </c>
    </row>
    <row r="11" spans="1:11" x14ac:dyDescent="0.2">
      <c r="A11" t="s">
        <v>139</v>
      </c>
      <c r="B11" t="s">
        <v>232</v>
      </c>
      <c r="C11" t="s">
        <v>233</v>
      </c>
      <c r="D11">
        <v>2</v>
      </c>
      <c r="E11">
        <v>0</v>
      </c>
      <c r="F11">
        <v>0</v>
      </c>
      <c r="G11">
        <v>0</v>
      </c>
      <c r="H11" t="s">
        <v>73</v>
      </c>
      <c r="I11">
        <v>2056</v>
      </c>
      <c r="J11" s="56">
        <v>46003.903680555559</v>
      </c>
      <c r="K11" s="56">
        <v>46003.862013888887</v>
      </c>
    </row>
    <row r="12" spans="1:11" x14ac:dyDescent="0.2">
      <c r="A12" t="s">
        <v>139</v>
      </c>
      <c r="B12" t="s">
        <v>266</v>
      </c>
      <c r="C12" t="s">
        <v>267</v>
      </c>
      <c r="D12">
        <v>2</v>
      </c>
      <c r="E12">
        <v>0</v>
      </c>
      <c r="F12">
        <v>0</v>
      </c>
      <c r="G12">
        <v>0</v>
      </c>
      <c r="H12" t="s">
        <v>73</v>
      </c>
      <c r="I12">
        <v>2071</v>
      </c>
      <c r="J12" s="56">
        <v>46005.92732638889</v>
      </c>
      <c r="K12" s="56">
        <v>46005.885659722226</v>
      </c>
    </row>
    <row r="13" spans="1:11" x14ac:dyDescent="0.2">
      <c r="A13" t="s">
        <v>139</v>
      </c>
      <c r="B13" t="s">
        <v>271</v>
      </c>
      <c r="C13" t="s">
        <v>272</v>
      </c>
      <c r="D13">
        <v>1</v>
      </c>
      <c r="E13">
        <v>1</v>
      </c>
      <c r="F13">
        <v>1</v>
      </c>
      <c r="G13">
        <v>0</v>
      </c>
      <c r="H13" t="s">
        <v>73</v>
      </c>
      <c r="I13">
        <v>2079</v>
      </c>
      <c r="J13" s="56">
        <v>46006.603842592594</v>
      </c>
      <c r="K13" s="56">
        <v>46006.562175925923</v>
      </c>
    </row>
    <row r="14" spans="1:11" x14ac:dyDescent="0.2">
      <c r="A14" t="s">
        <v>139</v>
      </c>
      <c r="B14" t="s">
        <v>260</v>
      </c>
      <c r="C14" t="s">
        <v>293</v>
      </c>
      <c r="D14">
        <v>3</v>
      </c>
      <c r="E14">
        <v>0</v>
      </c>
      <c r="F14">
        <v>0</v>
      </c>
      <c r="G14">
        <v>0</v>
      </c>
      <c r="H14" t="s">
        <v>73</v>
      </c>
      <c r="I14">
        <v>2086</v>
      </c>
      <c r="J14" s="56">
        <v>46006.753946759258</v>
      </c>
      <c r="K14" s="56">
        <v>46006.712280092594</v>
      </c>
    </row>
    <row r="15" spans="1:11" x14ac:dyDescent="0.2">
      <c r="A15" t="s">
        <v>139</v>
      </c>
      <c r="B15" t="s">
        <v>302</v>
      </c>
      <c r="C15" t="s">
        <v>303</v>
      </c>
      <c r="D15">
        <v>5</v>
      </c>
      <c r="E15">
        <v>0</v>
      </c>
      <c r="F15">
        <v>0</v>
      </c>
      <c r="G15">
        <v>0</v>
      </c>
      <c r="H15" t="s">
        <v>73</v>
      </c>
      <c r="I15">
        <v>2095</v>
      </c>
      <c r="J15" s="56">
        <v>46011.05127314815</v>
      </c>
      <c r="K15" s="56">
        <v>46011.009606481479</v>
      </c>
    </row>
    <row r="16" spans="1:11" x14ac:dyDescent="0.2">
      <c r="A16" t="s">
        <v>139</v>
      </c>
      <c r="B16" t="s">
        <v>305</v>
      </c>
      <c r="C16" t="s">
        <v>306</v>
      </c>
      <c r="D16">
        <v>1</v>
      </c>
      <c r="E16">
        <v>0</v>
      </c>
      <c r="F16">
        <v>0</v>
      </c>
      <c r="G16">
        <v>1</v>
      </c>
      <c r="H16" t="s">
        <v>73</v>
      </c>
      <c r="I16">
        <v>2098</v>
      </c>
      <c r="J16" s="56">
        <v>46011.56690972222</v>
      </c>
      <c r="K16" s="56">
        <v>46011.525243055556</v>
      </c>
    </row>
    <row r="17" spans="1:11" x14ac:dyDescent="0.2">
      <c r="A17" t="s">
        <v>139</v>
      </c>
      <c r="B17" t="s">
        <v>343</v>
      </c>
      <c r="C17" t="s">
        <v>344</v>
      </c>
      <c r="D17">
        <v>3</v>
      </c>
      <c r="E17">
        <v>0</v>
      </c>
      <c r="F17">
        <v>0</v>
      </c>
      <c r="G17">
        <v>0</v>
      </c>
      <c r="H17" t="s">
        <v>73</v>
      </c>
      <c r="I17">
        <v>2113</v>
      </c>
      <c r="J17" s="56">
        <v>46013.483194444445</v>
      </c>
      <c r="K17" s="56">
        <v>46013.441527777781</v>
      </c>
    </row>
    <row r="18" spans="1:11" x14ac:dyDescent="0.2">
      <c r="A18" t="s">
        <v>139</v>
      </c>
      <c r="B18" t="s">
        <v>357</v>
      </c>
      <c r="C18" t="s">
        <v>358</v>
      </c>
      <c r="D18">
        <v>9</v>
      </c>
      <c r="E18">
        <v>0</v>
      </c>
      <c r="F18">
        <v>2</v>
      </c>
      <c r="G18">
        <v>3</v>
      </c>
      <c r="H18" t="s">
        <v>73</v>
      </c>
      <c r="I18">
        <v>2120</v>
      </c>
      <c r="J18" s="56">
        <v>46014.645972222221</v>
      </c>
      <c r="K18" s="56">
        <v>46014.623148148145</v>
      </c>
    </row>
    <row r="19" spans="1:11" x14ac:dyDescent="0.2">
      <c r="A19" t="s">
        <v>139</v>
      </c>
      <c r="B19" t="s">
        <v>389</v>
      </c>
      <c r="C19" t="s">
        <v>390</v>
      </c>
      <c r="D19">
        <v>6</v>
      </c>
      <c r="E19">
        <v>7</v>
      </c>
      <c r="F19">
        <v>0</v>
      </c>
      <c r="G19">
        <v>1</v>
      </c>
      <c r="H19" t="s">
        <v>73</v>
      </c>
      <c r="I19">
        <v>2132</v>
      </c>
      <c r="J19" s="56">
        <v>46016.669062499997</v>
      </c>
      <c r="K19" s="56">
        <v>46019.851469907408</v>
      </c>
    </row>
    <row r="20" spans="1:11" x14ac:dyDescent="0.2">
      <c r="A20" t="s">
        <v>139</v>
      </c>
      <c r="B20" t="s">
        <v>386</v>
      </c>
      <c r="C20" t="s">
        <v>387</v>
      </c>
      <c r="D20">
        <v>3</v>
      </c>
      <c r="E20">
        <v>0</v>
      </c>
      <c r="F20">
        <v>0</v>
      </c>
      <c r="G20">
        <v>0</v>
      </c>
      <c r="H20" t="s">
        <v>73</v>
      </c>
      <c r="I20">
        <v>2136</v>
      </c>
      <c r="J20" s="56">
        <v>46017.442430555559</v>
      </c>
      <c r="K20" s="56">
        <v>46017.400763888887</v>
      </c>
    </row>
    <row r="21" spans="1:11" x14ac:dyDescent="0.2">
      <c r="A21" t="s">
        <v>139</v>
      </c>
      <c r="B21" t="s">
        <v>399</v>
      </c>
      <c r="C21" t="s">
        <v>400</v>
      </c>
      <c r="D21">
        <v>3</v>
      </c>
      <c r="E21">
        <v>0</v>
      </c>
      <c r="F21">
        <v>0</v>
      </c>
      <c r="G21">
        <v>0</v>
      </c>
      <c r="H21" t="s">
        <v>73</v>
      </c>
      <c r="I21">
        <v>2145</v>
      </c>
      <c r="J21" s="56">
        <v>46018.570960648147</v>
      </c>
      <c r="K21" s="56">
        <v>46018.529293981483</v>
      </c>
    </row>
    <row r="22" spans="1:11" x14ac:dyDescent="0.2">
      <c r="A22" t="s">
        <v>139</v>
      </c>
      <c r="B22" t="s">
        <v>413</v>
      </c>
      <c r="C22" t="s">
        <v>414</v>
      </c>
      <c r="D22">
        <v>2</v>
      </c>
      <c r="E22">
        <v>0</v>
      </c>
      <c r="F22">
        <v>0</v>
      </c>
      <c r="G22">
        <v>0</v>
      </c>
      <c r="H22" t="s">
        <v>73</v>
      </c>
      <c r="I22">
        <v>2150</v>
      </c>
      <c r="J22" s="56">
        <v>46019.632465277777</v>
      </c>
      <c r="K22" s="56">
        <v>46021.38003472222</v>
      </c>
    </row>
    <row r="23" spans="1:11" x14ac:dyDescent="0.2">
      <c r="A23" t="s">
        <v>139</v>
      </c>
      <c r="B23" t="s">
        <v>424</v>
      </c>
      <c r="C23" t="s">
        <v>425</v>
      </c>
      <c r="D23">
        <v>4</v>
      </c>
      <c r="E23">
        <v>0</v>
      </c>
      <c r="F23">
        <v>0</v>
      </c>
      <c r="G23">
        <v>0</v>
      </c>
      <c r="H23" t="s">
        <v>73</v>
      </c>
      <c r="I23">
        <v>2159</v>
      </c>
      <c r="J23" s="56">
        <v>46019.980833333335</v>
      </c>
      <c r="K23" s="56">
        <v>46019.939166666663</v>
      </c>
    </row>
    <row r="24" spans="1:11" x14ac:dyDescent="0.2">
      <c r="A24" t="s">
        <v>139</v>
      </c>
      <c r="B24" t="s">
        <v>330</v>
      </c>
      <c r="C24" t="s">
        <v>331</v>
      </c>
      <c r="D24">
        <v>1</v>
      </c>
      <c r="E24">
        <v>0</v>
      </c>
      <c r="F24">
        <v>0</v>
      </c>
      <c r="G24">
        <v>1</v>
      </c>
      <c r="H24" t="s">
        <v>73</v>
      </c>
      <c r="I24">
        <v>2163</v>
      </c>
      <c r="J24" s="56">
        <v>46020.857106481482</v>
      </c>
      <c r="K24" s="56">
        <v>46020.815439814818</v>
      </c>
    </row>
    <row r="25" spans="1:11" x14ac:dyDescent="0.2">
      <c r="A25" t="s">
        <v>139</v>
      </c>
      <c r="B25" t="s">
        <v>266</v>
      </c>
      <c r="C25" t="s">
        <v>267</v>
      </c>
      <c r="D25">
        <v>1</v>
      </c>
      <c r="E25">
        <v>0</v>
      </c>
      <c r="F25">
        <v>0</v>
      </c>
      <c r="G25">
        <v>0</v>
      </c>
      <c r="H25" t="s">
        <v>73</v>
      </c>
      <c r="I25">
        <v>2166</v>
      </c>
      <c r="J25" s="56">
        <v>46021.874525462961</v>
      </c>
      <c r="K25" s="56">
        <v>46021.832858796297</v>
      </c>
    </row>
    <row r="26" spans="1:11" x14ac:dyDescent="0.2">
      <c r="A26" t="s">
        <v>139</v>
      </c>
      <c r="B26" t="s">
        <v>436</v>
      </c>
      <c r="C26" t="s">
        <v>437</v>
      </c>
      <c r="D26">
        <v>3</v>
      </c>
      <c r="E26">
        <v>1</v>
      </c>
      <c r="F26">
        <v>0</v>
      </c>
      <c r="G26">
        <v>1</v>
      </c>
      <c r="H26" t="s">
        <v>73</v>
      </c>
      <c r="I26">
        <v>2170</v>
      </c>
      <c r="J26" s="56">
        <v>46021.892650462964</v>
      </c>
      <c r="K26" s="56">
        <v>46021.850983796299</v>
      </c>
    </row>
    <row r="27" spans="1:11" x14ac:dyDescent="0.2">
      <c r="A27" t="s">
        <v>139</v>
      </c>
      <c r="B27" t="s">
        <v>457</v>
      </c>
      <c r="C27" t="s">
        <v>458</v>
      </c>
      <c r="D27">
        <v>3</v>
      </c>
      <c r="E27">
        <v>1</v>
      </c>
      <c r="F27">
        <v>0</v>
      </c>
      <c r="G27">
        <v>0</v>
      </c>
      <c r="H27" t="s">
        <v>73</v>
      </c>
      <c r="I27">
        <v>2177</v>
      </c>
      <c r="J27" s="56">
        <v>46023.621377314812</v>
      </c>
      <c r="K27" s="56">
        <v>46023.579710648148</v>
      </c>
    </row>
    <row r="28" spans="1:11" x14ac:dyDescent="0.2">
      <c r="A28" t="s">
        <v>139</v>
      </c>
      <c r="B28" t="s">
        <v>461</v>
      </c>
      <c r="C28" t="s">
        <v>462</v>
      </c>
      <c r="D28">
        <v>4</v>
      </c>
      <c r="E28">
        <v>0</v>
      </c>
      <c r="F28">
        <v>0</v>
      </c>
      <c r="G28">
        <v>0</v>
      </c>
      <c r="H28" t="s">
        <v>73</v>
      </c>
      <c r="I28">
        <v>2180</v>
      </c>
      <c r="J28" s="56">
        <v>46023.696435185186</v>
      </c>
      <c r="K28" s="56">
        <v>46023.654768518521</v>
      </c>
    </row>
    <row r="29" spans="1:11" x14ac:dyDescent="0.2">
      <c r="A29" t="s">
        <v>79</v>
      </c>
      <c r="C29">
        <f>SUBTOTAL(103,Bielemantreffen[Naam vereniging])</f>
        <v>23</v>
      </c>
      <c r="D29">
        <f>SUBTOTAL(109,Bielemantreffen[Senioren])</f>
        <v>80</v>
      </c>
      <c r="E29">
        <f>SUBTOTAL(109,Bielemantreffen[Jong Volwassene])</f>
        <v>15</v>
      </c>
      <c r="F29">
        <f>SUBTOTAL(109,Bielemantreffen[Junioren])</f>
        <v>3</v>
      </c>
      <c r="G29">
        <f>SUBTOTAL(109,Bielemantreffen[Aspiranten])</f>
        <v>9</v>
      </c>
      <c r="K29">
        <f>SUBTOTAL(103,Bielemantreffen[Date Updated])</f>
        <v>23</v>
      </c>
    </row>
  </sheetData>
  <mergeCells count="2">
    <mergeCell ref="C1:G1"/>
    <mergeCell ref="C2:G2"/>
  </mergeCells>
  <phoneticPr fontId="2" type="noConversion"/>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5ad308b-2083-401f-bfeb-b2b7430ea54a">
      <UserInfo>
        <DisplayName>schietcommissie</DisplayName>
        <AccountId>29</AccountId>
        <AccountType/>
      </UserInfo>
      <UserInfo>
        <DisplayName>jurycollege</DisplayName>
        <AccountId>28</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28E49110E16CA4CAD6807469259A23F" ma:contentTypeVersion="6" ma:contentTypeDescription="Een nieuw document maken." ma:contentTypeScope="" ma:versionID="f8e974e52f9381d781a335a64a019fd6">
  <xsd:schema xmlns:xsd="http://www.w3.org/2001/XMLSchema" xmlns:xs="http://www.w3.org/2001/XMLSchema" xmlns:p="http://schemas.microsoft.com/office/2006/metadata/properties" xmlns:ns2="16868e8d-a882-449e-81d4-1ad0b5292899" xmlns:ns3="65ad308b-2083-401f-bfeb-b2b7430ea54a" targetNamespace="http://schemas.microsoft.com/office/2006/metadata/properties" ma:root="true" ma:fieldsID="ec86bc25d04fca1220acb4794a500399" ns2:_="" ns3:_="">
    <xsd:import namespace="16868e8d-a882-449e-81d4-1ad0b5292899"/>
    <xsd:import namespace="65ad308b-2083-401f-bfeb-b2b7430ea54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868e8d-a882-449e-81d4-1ad0b52928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ad308b-2083-401f-bfeb-b2b7430ea54a"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s q m i d = " 0 2 2 d 2 2 a 6 - b 1 d a - 4 d a 3 - a 0 1 9 - c 5 2 2 1 2 f 9 2 e 0 a "   x m l n s = " h t t p : / / s c h e m a s . m i c r o s o f t . c o m / D a t a M a s h u p " > A A A A A I C z A A B Q S w M E F A A A C A g A W F p I X L G / U E 6 l A A A A 9 g A A A B I A A A B D b 2 5 m a W c v U G F j a 2 F n Z S 5 4 b W y F j 0 E O g j A U R K 9 C u q c t K I k h n 7 J w C 8 b E x L g l p U I j f A w t l r u 5 8 E h e Q Y y i 7 l z O z J t k 5 n 6 9 Q T q 2 j X d R v d E d J i S g n H g K Z V d q r B I y 2 K O / I q m A b S F P R a W 8 C U Y T j 0 Y n p L b 2 H D P m n K N u Q b u + Y i H n A T v k 2 U 7 W q i 1 8 j c Y W K B X 5 t M r / L S J g / x o j Q h p E n C 5 5 R D m w 2 Y R c 4 x c I p 7 3 P 9 M e E 9 d D Y o V c C G 3 + T A Z s l s P c H 8 Q B Q S w M E F A A A C A g A W F p I X F x i M m H W s A A A h 8 k F A B M A A A B G b 3 J t d W x h c y 9 T Z W N 0 a W 9 u M S 5 t 7 H 1 r b 9 z G k v b 3 A O c / E N o P K w O y N F 2 8 z M z u m z 2 Q o p P E s p O c X T k O s I E R j C R a H m s u w l z s k w T + Q f s 7 9 o + 9 T X I u X d V V z S K H W u A g y Q d H 5 B T J 7 n q 6 m 1 U P q 6 u W + e 1 q P J 9 F 1 9 X / z b / / 5 Y u / f L F 8 P 1 r k d 9 H L y + + i L 6 N J v v o i s v 9 d L K z Y l 9 F X y 4 + n l / P b 9 T S f r Y 6 / H k / y 0 6 / m s 5 U 9 W B 4 f n f 2 4 z B f L s 9 W H / O Y m N 2 e v x j e L 0 e L X s 6 8 m 8 / X d 9 W q + G N 3 n Z z / M 8 s v F + G P + / O v 8 L l + M V u P 8 4 2 j 2 T T 6 x B 8 v 8 + v b 9 e r W y f 9 2 P 7 Y l Z P t u e G H + w f 6 9 O v 1 3 f 5 I v V e n n 2 j f 1 x M Z p E z 6 M X r + 3 j P 4 0 f H v L J e H Z / 9 m K 2 v H 1 v x T / a g 3 x 2 B j 3 I z m 6 X H 6 O b f L k a z e w 9 z 1 4 u 7 E 9 3 o + J X 2 8 F C 4 N Q K H D 0 7 i X 6 + t P e Y j u 3 j b D + P T o 5 O o q / m k / V 0 t r S H W S 8 5 i f 4 2 u 5 3 f 2 a u L 4 7 T X M 2 + f n Z S q + Z e j b / N R 0 Y F o m q + i j / n i / X x + f x f N b D d H 6 y M r / X p 0 Y x X 1 9 8 V 8 O l / l G 9 n j Q q H 2 o Z u z 5 5 P J 9 e 1 o M l o s v 1 w t 1 n l 1 6 + L G q + h h P p l P V 7 8 + 5 t F 4 G d 3 n n 8 Y f f h v f 3 + 3 v + 3 o x m i 3 f z R f T q r m v r e T y O N y m k + j 3 3 4 / e 5 I t 8 N r 6 3 H V r O 1 t N p v j g 6 K Z + y y v + x + n z y + 9 H l a L W e R l t 9 2 W v K X + 9 G q / y z v f 7 o + M 2 L 8 2 f R N / n N f L 5 Y 5 X e F s N E I g U Y o 1 g g l G q F U I 5 R p h P o a o Y F G a K h S Z k 8 l p d K 5 U S n d q L R u V G o 3 K r 0 b l e K N S v N G p X q j 0 j 0 w u r + o H + x U h N E 6 F W F U T k U Y f V M R R t l U h N E 0 F W H U T E U Y H V M R R s G e 6 j T q V e i X G 9 a e j E L D 3 J D 2 Z B Q 6 5 o a z J 6 P Q M j e U P R m F n j X D G D T j W K F n U O g Z F H o G h Z 5 B o W d Q 6 B k U e g a F n m N p q b 7 M 8 8 l s N M 2 j 2 W g 0 j Q p N v 5 i t s u S 0 e E e L Y q A T i 3 V i i U 4 s 0 4 m l O r G + T m y g E x v q x M p V R S O n x M E o g T B K J I w S C q N U s l F i Z p R o G C U c R o k H c H h c a C a F J 8 Q h 4 Q l x M H h C H A a e E A e A J 8 R p 3 x P i V O 8 J c X r 3 h D i l + 8 r U q V y l c 3 b 4 + 1 I q r b N D 3 5 d S 6 Z 0 d 9 r 6 U S v P s k P e l V L r X D X f Q j X e V 7 k G l e 1 D p H l S 6 B 5 X u Q a V 7 U O k e V L q P x a W / 1 t Z h p F T O E m f v M F I q Z 4 m z e R g p l b P E 2 T 2 M l M p Z 4 m w f x l f X W T / s y O f k l K 9 d d v R z c s r X L j s D O D n l a 5 e d B Z y c 8 r X L z g T O L m T m w o v Z b / n s r k T L x W o 1 n l a / X 9 q D 6 M f H 4 t y d J / B 5 w 0 W d j 2 b 3 + e N o u Y r G q 3 w a r e b 5 f f 7 R / u N Q U e d 3 d x U J d R y k r k 6 i o 0 m e v 1 u N P 9 w V g y I f 3 b 6 P x u + i n / 9 F M J v f 2 g e Y a P U + n 0 X f r 6 c 3 + e L 0 v + b r 2 d 3 l / N P s + H J d s I j z 2 e n l 6 N f l 8 c + Y t H r 7 f H d P 4 r u / f X Y W Z + m z K J 8 s 8 6 i 3 6 e E b K / F p N F r c 5 Z P x h 4 e 8 a n 5 U U I m B f s p q s d 1 8 8 8 P s L r f 3 y y e o o 7 v e v 4 3 + w 3 Z t U P X t y D b 0 + q h q E p H 6 M u p t Z L 7 5 2 9 + + 5 2 X + n 7 2 T 2 d / p f C N V / H 1 1 V I e h 4 T t X p x E H S a h H E h w k v + g G S W i F p N D b g H Y Q l s B h C S o s Q Y E l H I g l t M L S u G D G 9 W D G 3 Y M Z t w J T 6 G 5 A P Q j M m A M z V o E Z K 8 C M 6 8 E M t D V u B S W 4 U C b 1 U C b d Q 5 m 0 g l L o b k A 9 C M q E g z J R Q Z k o o E w O g j J p B W X s Q p n W Q 5 l 2 D 2 X a C k q h u w H 1 I C h T D s p U B W W q g D I 9 C M q 0 F Z S J C 2 V W D 2 X W P Z R Z K y i F 7 g b U g 6 D M O C g z F Z S Z A s r s I C i z V l C m L p T 9 e i j 7 3 U P Z b w W l 0 N 2 A e h C U f Q 7 K v g r K v g L K / k F Q 9 l t B m b l Q D u q h H H Q P 5 a A V l E J 3 A + p B U A 4 4 K A c q K A c K K A c H Q T l o B W X f h X J Y D + W w e y i H r a A U u h t Q D 4 J y y E E 5 V E E 5 V E A 5 P A j K Y S s o B 4 g j 6 C l I g l 7 3 Y B b 3 b I G m 0 O O A h j B R 0 O P g N D 0 d V d D T c A W 9 g x C 1 D W w D 6 R B B q u F 9 z B N A 2 o 7 5 k b o c 0 h E G l a d / l P y P i g B S M E C h B r c j g K p + 7 t q g 4 I D M E 5 B A p i U L 1 J g G I j y Q Y Y k g o 2 O C j I Y K M g o u K N T g l l Q Q 4 o K M g g w y T 8 A G m X Z 0 k N T n k J I w q i w j Z H S U k N F w Q u Y w U s i 0 Y 4 U M o o W M g h c y T 0 A M m X b M k N T n k J I w q i w 5 Z H T s k N H Q Q + Y w f s i 0 I 4 g M Y o i M g i I y T 8 A R m X Y k k d T n k J I w q i x P Z H R E k d E w R e Y w q s i 0 4 4 o M I o u M g i 0 y T 0 A X m X Z 8 k d T n k J I w q i x l Z H S c k d G Q R u Y w 1 s i 0 o 4 0 M 4 o 2 M g j g y T 8 A c m X b U k d T n k J I w q i x 7 Z H T 0 k d H w R + Y w A s m 0 Y 5 A M o p C M g k M y T 0 A i m X Y s k t T n k J I w q i y R Z H R M k t F Q S e Y w L s m 0 I 5 M M Y p O M g k 4 y T 8 A n m X a E k t T n k J I w q i y n Z H S k k t G w S u Y w W s m 0 4 5 U M I p Z A Q S z B E x B L 0 I 5 Y k v o c U h K O W 2 C p J d B R S 6 C h l u A w a g n a U U s G c U u g 4 J b g C b g l a M c t S X 0 O K Q m j y n J L o O O W Q M M t w W H c E r T j l g B x S 6 C J L 3 q K A K N 2 3 J L U 5 5 C S M K p 8 k J E y y k g V Z n Q Y t w T t u C V A 3 B I o u C V 4 A m 4 J W o Y a N Y 4 1 I t w S s N w S 6 L g l 0 H B L c B i 3 B C 0 j j h C 3 B A p u C Z 6 A W 4 J 2 3 J L U 5 5 C S M K o s t w Q 6 b g k 0 3 B I c x i 1 B O 2 4 J E L c E C m 4 J n o B b g n b c k t T n k J I w q i y 3 B D p u C T T c E h z G L U E 7 b g k Q t w Q K b g m e g F u C d t y S 1 O e Q k j C q L L c E O m 4 J N N w S H M Y t Q T t u C R C 3 B A p u C Z 6 A W 4 J 2 3 J L U 5 5 C S M K o s t w Q 6 b g k 0 3 B I c x i 1 B O 2 4 J E L c E C m 4 J n o B b g n b c k t T n k J I w q i y 3 B D p u C T T c E h z G L U E 7 b g k Q t w Q K b g m e g F u C d t y S 1 O e Q k j C q L L c E O m 4 J N N w S H M Y t Q T t u C R C 3 F C u 4 p f g J u K W 4 H b c k 9 T m k J L y N g u W W Y h 2 3 F G u 4 p f g w b i l u x y 1 t + l m 0 e 9 O / V + P l 6 v Q r i 9 L q u P z z O p / k t 6 v j 3 3 9 2 6 N O 3 J 8 4 R o K M Y H S X o K E V H G T r q o 6 M B O h q i I 9 P D h 7 Y 1 k X u M 2 2 N w g 0 x C p H G b D G 6 U w a 0 y u F k G t w t 6 + N Z A 1 I T b B b h d g D U F u F m A m w W 4 W Y C b B b h Z d l x 9 3 k D 7 S 5 H 5 q 8 T 6 2 b O a 0 d S U 3 4 l 7 m 3 F 0 9 e c 4 6 m A c / V M M o 6 v 6 Y d S U U I r N Z h i d / z m M / i j D 6 L w a R s V b / H t r O 8 y i j 6 N Z 9 Z o q D n b b q i N n S f q v v L A y N v k L g + O p I O 6 K Z I D V C + 7 o / H Y x v z m N l v l s P F / Y u 4 9 n d + O P p 0 e 7 T e D B B o D c g J q G b 9 t w 5 b T h w 5 q 0 o d i p v h n 5 W 5 n R 8 n G 8 G B U J K L 2 W v t w + 5 2 O + s A 8 q 1 O s 2 b z r / q G 1 e q a K N r W U V u R p N 7 D 1 n h b 1 Q 5 F c c z 6 L 3 + S p 6 X M z f j f N J 2 b b J f T 7 N 8 9 l f y 6 l a S n 7 K 7 5 a r R d E K 9 6 x 9 y s N k t F y O 8 w d 8 d l T 0 z t p + y 9 v 3 4 g / R X b 4 a j S d L L L B 8 P / 9 U n v l u / Z u 9 b U Q f 7 J 9 G 9 7 m w X c i n V g 3 0 u t 0 P r v R 3 o w 8 W o N U q 9 x / D / U K u X T z k Z e L Q l c W H X H 5 9 + 3 5 c / F g e v F r f v l 9 Z N P J 8 s T 9 + t E v d f D 4 p T 7 x c r M d L a w L f l 0 f f j m Z 3 u w P n 2 u h D v r 6 / K 8 / + 7 f n U t m N 0 t 8 i X x S H k E T n z 4 u 8 W / h t 7 2 4 d 8 c R Q Y U H j K 4 S H F j b / 9 O H q z H 0 A u p u U g H t + t 8 2 o k F b Z p 4 S l U I / 6 9 1 d T 2 S M i + K e Y d 2 9 3 q F 4 N v 9 g s I t w P p d o B u F 5 P b J c L t Y u l 2 M b p d S m 6 X C b d L p N s l 6 H Z 9 c r u B c L t U u l 2 K b j c k t 6 v C 3 4 W E o m K e N Q c L C o a R 0 O h L N + z j G 1 I 4 j I T H Q L r h A N + Q A m I k R I b S D Y f 4 h h Q S I 2 H i K p c M 6 B 6 + J Y U F J F i M P E f w J A F v l k j A G H G e G D x R g E I D E j R G n C s G T x a g 4 I A E j h H n i 8 E T B i g 8 I M I j z h m D J w 1 Q e G I R H n H a G D x v Y g p P L M I j T h y D Z 0 5 M 4 Y l F e M S p Y / D c i S k 8 s Q i P O H k M n j 0 x h S e W 4 A F x 9 n j x I z j O g u 5 c w v u 2 6 G Y 1 v F G P R p H h G D o a O Y j j J m m 0 K I 6 V p R H C O D 6 a R o X j m H i 6 E w D v g 6 C 7 P / D e F 7 r j B + 9 3 I r p C q i K a Q o o i e k J q I l p C S i I 6 Q i o i G k I K I v p B 6 q H f s t F g I L 1 H n c c D k 0 7 y R J r k I K 7 B g G + Z 0 E m e i K a K b K v g N T j x r B V p k o O 4 B g N e g x M 6 y R N p k o O 4 B g N e g x M 6 y R N x k o t r M O A 1 O K H w p C I 8 4 h o M e A 1 O K T y p C I + 4 B g N e g 1 M K T y r C I 6 7 B g N f g l M K T i v C I a z D g N T i l 8 K Q S P L G 4 B s d 4 z a W x X z h G i s Y Q 4 S l K 5 y + O 2 a A x D f j b P / 0 2 j r 8 h 0 2 + s + F s k / V a H v 2 n R b z 4 4 7 p b G p a K F M y a r q j 2 u T U E X C y E 8 v M 9 m b / / K W c X c r z R M f t r 2 2 e e i 5 9 t 7 a r L P y Z 1 r G s l S 2 T K v n E U 8 2 E X o v o t C 0 K T c 4 q Z h H Z V 1 9 s p 5 h w W 7 G B + 9 / b L T D u 7 i B 5 X 9 a x r g U N m O r 5 z 3 d 7 B / S d f 9 S x r 2 r + m n / s o U f u X Y L s H + p V 3 3 L 2 3 Y v 6 Y f v S t D / Z V j t w X 7 l 3 X d v 6 x h / 5 p + / q 3 8 j l e O z R r s X 7 / r / v W b 9 S 9 p G m R f 2 b O v H H s 9 2 L 9 B 1 / 0 T I m 7 k D j b 9 H l n Z 5 6 8 c Z y X Y w W H X H R S C T + T 2 N v 1 S l u D 3 P A 3 H 4 H K n d 9 x F K X + M 3 O S m g c i V R / T K d V b D f T S d 9 7 G p M Z M 0 T g y I j B k v x Q i X t 7 7 r P j a 1 Z p K m 1 k y C r B k v 4 Q a X d b / r P g o b I u Q m N 7 V o E m T R e O k n u J o B X f d R 2 B 4 g N 7 m p V Z M g q 8 Z L x s B V P O i 6 j 0 K w v N z k p p Z N g i w b L z U B V 6 + h 6 z 4 K o e N y k 5 t a N w m y b r y N + l y 1 i a 7 7 K A R S y 0 k 3 m 1 o 4 C b J w v G 3 r X K 2 M r v v Y 1 M h J m x o 5 K T J y v E 3 c X K W P r v v Y 1 M 5 J m 9 o 5 K b J z v C 3 N X J 2 S j v s o b W e W m 9 z U z k m R n e N t 8 O W q r H T d x 6 Z 2 T t r U z k k x a V P P 2 n R u 5 0 h b X e U m N 8 4 M j O w c b / M n V + G m 6 z 4 2 t X P S p n Z O i u w c b y s k V 5 + n 6 z 4 2 t X P S p n Z O i u w c b 2 M g V 1 2 o 6 z 4 2 t X P S p n Z O i u w c b 5 s c V x u p 6 z 4 2 t X P S p n Z O i u w c b 9 M Y V 9 m p 6 z 4 2 t X O y p n Z O i u w c b w s V V 5 e q 6 z 4 2 t X O y p n Z O h u w c b 0 M R V 1 W r 6 z 4 2 t X O y p n Z O h u w c b 3 s N V x O s a 8 6 / 3 d Y a a e N J S D W 2 p x f o s / u u q z t j N r B j x p H 5 j y + t M b S R u n h x z Q s V u 2 r i n d A 5 L 2 R l k p 3 M l S i T 1 s k U D 9 u 2 + + s f f n y 9 3 c J z c f X T k V K h 7 f K J V N 8 V L 1 C k g 6 f W U O I M R 6 Z e r a B R K y j U C g q 1 Q i d q b Z f Q o 4 r F u k D B J Z 5 a Q 5 k r H J l 6 t c Y a t W 6 E w n q N F X q N O 9 F r u 5 Q a M V k F E k 6 v o d w R j k y 9 X h O N X h P F c E 0 U a k 0 6 U W v L g j o x V m v K q T W U v M G R q V d r q l F r q l B r q l B r 2 o l a 2 y W V q L 7 H X 6 C w N U + t o e w J j k y 9 W j O N W j O F W j O F W r N O 1 N o u q 0 M V B n C B I g U 9 t Y b S F z g y 9 W r t a 9 T a V 6 i 1 r 1 B r v x O 1 t k u r U E U f X K D g T E + t o f w B j k y 9 W g c a t Q 4 U a h 0 o 1 D r o R K 3 t 8 h p U Q Q 8 X K B 7 W U 2 t o A 7 8 j U 6 / W o U a t Q 4 V a h w q 1 D j t R a 7 v E A l W s x Q U O Q v Y d g t A e e l d I 4 R L 0 V D 5 B T + M U 9 D R e Q a 8 L 7 U o x H v W g Y O 3 y 7 p b K 3 9 I 5 X D q P S + V y q X y u T p w u K c C k H h S s X d b r C t b C c I U U 2 l U 5 X k b j e R m N 6 2 U 6 8 b 2 k 6 J Z 6 U L B 2 W e c r W J P C F V J o V + V / V Q + s 0 6 7 G A T O d e G B S X E 0 9 K F i 7 r A s W r A 3 h C i m 0 q / L C j M Y N M x o / z H T i i E k R P f W g Y O 2 y n l i w R o M r p N C u y h k z G m / M a N w x 0 4 k / J s U S 1 Y O C t c s 6 Z M F a C a 6 Q Q r s q n 8 x o n D K j 8 c p M J 2 6 Z F M V U D w r W L u u X B W s W u E I K 7 a p c M 6 P x z Y z G O T O d e G d S / F Q 9 K F i 7 r H s W r B 3 g C i m 0 q / L Q j M Z F M x o f z X T i p E m R W / W g Y O 2 y X l o w h 7 8 r p N C u y l E z G k / N a F w 1 0 4 m v J s W M 1 Y O C P z K w v l o w l 7 4 r p P j O o P L V Q O O r g c Z X g 0 5 8 N S l a r R 4 U r F 3 W V w v m t H e F F N p V + W q g 8 d V A 4 6 t B J 7 6 a F C d X D w r W L v + F T P W J T P e N T P e R T P W V T P W Z r B N f T Y r Q q w c F a 5 f 1 1 Y I 5 3 l 0 h h X Z V v h p o f D X Q + G r Q i a 8 m x Q b W g 4 K 1 y / p q w V z r r p B C u y p f D T S + G m h 8 N e j E V 5 O i E u t B w d p l f b V g z n N X S K F d l a 8 G G l 8 N N L 4 a d O K r S f G Q 9 a B g 7 b K + W j D 3 u C u k 0 K 7 K V w O N r w Y a X w 0 6 8 d W k S M x 6 U L B 2 W V 8 t m A P c F V J o V + W r g c Z X A 4 2 v B p 3 4 a l I M a D 0 o W L u s r x b M x e 0 K K b S r 8 t V A 4 6 u B x l e D T n w 1 K f q 0 H h S s X d Z X C + b E d o U U 2 l X 5 a q D x 1 U D j q 0 E n v p o U 9 1 o P C o 5 c Y n 2 1 Y G 5 q V 0 g R v K T y 1 W K N r x Z r f L V Y 5 6 u J g Y h R S z + i 9 N K u N y l E t z o V 8 9 Q 6 V M T b E + c I 0 F G M j h J 0 l K K j D B 3 1 0 d E A H Q 3 R U Z m n 1 v 0 O W G S e d b 9 c 4 Z 9 x g 6 o 8 t S 6 b j X / G j T K 4 V Q Y 3 y + B 2 A W 4 X E C 3 h Z g F u F m B F A W 4 V 4 F Y B b h X g V g F u F c 1 T W 4 z 4 X Z p a e U Q 1 j f q t s r V c z W f 3 0 Z v 5 5 N N o u c x n + Z 9 D 6 o 8 x p I o l q n 5 I N d 1 M V i U w v V q 3 W Z 6 + + H M w / b M O p h d X m s H U d N d e l b 7 2 f J e G + s + l 6 Q 8 y m p y k 7 F y S M Z Q K H S e G D g 2 + M k H 0 x S 7 N + M 0 m 6 / Y s n z F 5 x p n E Y r u z y 9 v 3 4 4 d V l B d 5 z O f 5 u 3 x 2 t / 3 t M v d y Q z P p u 1 h h Y I V j X j h m h R N e O G G F U 1 4 4 Z Y U z X j h j h f u 8 c J 8 V H v D C A 1 Z 4 y A s P e c B 6 A i o 9 X t w I 4 j y K R o D R 8 D g a A U j D I 2 k E K A 2 P p R H A N D y a R o D T 8 H g a A V D D I 2 o E S A 2 P q R F A N T y q I K A K P K o g o A r C 3 J Q m J 4 8 q C K g C j y o I q A K P K g i o A o 8 q C K g C j y o I q A K P K g i o A o 8 q C K g C j 2 o s o B r j H B P u A c p a g L b 3 o 3 3 w a M M 4 2 l m N t i C j v b o 4 e Q d u A k 5 8 h V N E 4 W R K O O 0 Q T t C D U 9 n g p C 8 4 P Q r e Y I u 3 o m J 9 4 D Q O O O E B T g 2 A N 9 H j 7 e Z 4 Y z b e w o z a Q n f 8 0 S 9 w h P 7 B h 4 S U J y w y o T 0 J T 0 e I J R p h T J t F o z h p 3 C G N l K O x X T Q a i c b P 0 I g P G k 9 O v 6 r T 7 8 B U b / R b G / 0 6 R L 9 n U A a e c s a U 5 a Q x F K R 9 F a y l G T U d j a y V c 2 d n a X S 8 q 9 j x / M X l s 0 L i c r y 8 n Y z G 0 3 x R H s 2 t 9 Z Q v i k l r T a / C l H o / n 7 + 7 e 5 g v H p f l + f l 9 l F t 7 C Q o + q z g 3 z f O y W s j 3 x S w v Z W + t m T e a 3 V n b r L z h d h m Y l j V V n B o m 6 N e P m 9 I s 6 O T W s J M u m m 7 r p 0 g C Z R O X m z I p 5 c L 0 5 u X L 6 2 e R w 7 q V p 6 6 e R V t P N 1 q d F S / E 6 M N o t H B + 3 p i a 5 Q 3 3 1 x W l b v a 1 d c o r D b r y X L j y 3 G / E e b g R 5 3 X P u v Z v e R 2 + 5 X X w l j s l b q H e o T y e W W W v b 1 f 5 2 o 6 n / f B 4 t h O 4 G y / G 9 / l s x f + 6 G k 1 v 5 n b 8 T U f j 1 S L n Z Y o a Q 8 X g c 5 / 9 3 1 a L 8 8 f I X l N U y R l N l t H x 9 u f y w j f z R X X h 6 l O + H 2 6 L B y u M B Y s b r c e r h / m 0 c h j u 8 n 8 j E t / t L j b i L 0 B + e V l O h 5 t 8 u R q N V s X 9 o 9 P T 0 6 i Y i b N 8 W l S w w e K + J v 2 f t 3 p k f q J K R B L H 3 5 3 v h + x u k t g W Y O / I k W U c p P K 8 P 9 U i 7 t e R 1 f p 8 u / B E x 3 Z N s H / Z Z j 3 k 6 9 / s c 6 f z + 5 I D 3 8 C 0 q 8 J S r n B u k Z N q a x T T J A g 2 C c h 9 v Q I 0 m z T 7 / n 3 j 4 H 1 x D n t T R b q j + 8 b C f Z P g f R N y X 6 9 6 z C Y 7 v n / f N H j f l N x 3 4 N 1 3 K N w 3 C 9 5 X a k 0 / e B W p u V N 9 v 3 d b k 6 b C f Q f B + w 6 E q 4 b B q 6 S e m 1 5 4 t E s j x 9 T M E i N d F x 7 K 7 s + c 3 y l e J 4 1 E E x 6 K 7 s + c J y p e J 2 F n w k P J S G P J h A e T k V Y G E x 4 s R h o t J j x c j D R e I D x e Q B o v E B 4 v I I 0 X q F n 6 p P E C 4 f E C 0 n i B 8 H g B a b x A e L y A N F 4 g P F 5 A G i 8 Q H i 8 g v k n C 4 w W k 8 Q L h 8 Q L S e I n D 4 y X G R b r A L 1 a 1 0 c C r b + w N R t U r v a z R t z E o o 4 l T v I 9 h P 8 v r 7 r Y P 3 l 9 J 6 t 2 B V y w K N t W i x B v Q w l 1 e T a x N 1 S X x B q R M l 1 d 2 B h J S d c t 7 U U K S h R 9 B b + C 1 M R k Q C a 9 K W k o Q 8 i q 6 Q F q j q M p L 3 8 O 0 O 9 y U Z y y O t / U Y S 0 t y W 6 m R X F f d M 5 p Z b y a a r 6 2 B F V k n a 2 v T n 5 Y 2 O 8 r Q V J 4 Z F 3 a 4 F S 2 c t t 2 w q 9 p 1 n 3 9 Y L w p T L S o q U M 4 X h V m 9 K p 2 o p e 2 H l V 4 s v Y q c W z W k V E 8 Z V l N G t Z Q 5 x J t P u / + S 4 c G Q U W M h S 8 O X 4 6 o 7 G c U 5 G 4 Q v x 7 V r + j 1 y e T / 4 z e C X P p 4 K f T q Q + 0 n 4 c m y 3 9 a l Z 3 O + H L 8 d D u E + R G f S C l w / w Q j C g R u 4 g D l + O p 9 i A T t F B F r 4 c W 4 k D a r I O h s H L h 3 j U D e m o G 4 Z H 3 R C P u i E d d c P w q B v i U T e k o 2 4 Y H n V D U v O x R 4 e d 6 Y X H n e k R z 6 f n F b b s h Y e e 6 R G f o e f 5 Z L 3 w 6 D M 9 U g q z 5 3 l f J j w A D a k q a Y z n Z 5 n w G D S k P K P x 6 3 G a 8 D A 0 p M 6 h M Z 7 v Z M I j 0 Q A p t + k V x z Q Q H o y G 1 E w z 4 H l M E B 6 P h h Q f M 1 6 d S g P h I W l I F S 8 T e 2 M y r h m T M f X G v T E Z 1 4 z J u K a X c U 0 f k p o W J j X P T 6 j n 6 u k g J S M 2 9 U Z s S r B M v X m V 0 q d 4 8 4 a 8 U k 3 m P Y W 8 N U 3 m 1 6 H l z G s t X W M b x V n L + s u z Q 8 g i e z n n i z S 4 n G g 4 8 + Z 0 x h n 1 + g f 0 C U B 9 b 8 r 3 O e + t w Q M I v n 1 v R e h z b l e D B 5 A F o + 8 t G P 3 D R k C f r C c D b y 4 N D h s j A 7 L c D L z l Z n D Y K B q Q N + T A m 8 k D z h V t 8 A D y A h 1 4 C 8 G Q 8 y H 1 D x i S 1 W r o r S N D j i x o 8 A D y + h 1 6 y 9 D w s G V o S G b y 0 J v J w 4 N m M v S I k 9 f z n L z e Q T M Z e s T Z 7 d G Z D L 2 D Z j L 0 M v I A z 9 X t H T S T o Y d n M h g 6 k 4 G l R P U P o J X A v S r t w H K Z D R 5 A K m 4 b O p O B J S E b P I C Q C X 7 J d Z Y 9 1 D + A 1 P 4 F o D M Z W N q v w Q M O 0 z C p V A t A 5 y m w N J r + A S y b 1 u B y M g t j b x b G h 8 3 C + K B 1 D m I y x x J v j i W H z b G E z D G v l j C k h D L z S g N D S l Y a r 9 I v p G Q e e K Y t E N M W P L o I M t L S z G t p R l r q G b 9 A W C H w a C H I S E s z r 6 X E x g P P x g N r 4 2 0 r 7 3 4 / K g N c L R w P 2 2 j X + / z T + M N v 4 / u 7 a O A G u x a 4 7 Y N d + d j Y k + j 3 3 4 + + z / P p K l q X x G L 5 0 b s I k 7 g f r c Z V 2 M X l 9 u j o c x E V + 8 b C P h v f j 2 f 3 y 9 l 6 u o n p s C d P Z 4 v T o 8 / b Z v 5 U 7 k q K x s v i e R + L C J G Z 2 7 b H y e g 2 f z O a r P P j 2 i 7 Z 2 1 + N i n / / Y f / Z X L r Y 3 u N 1 / o 9 V 0 a p 9 I 0 + 2 X 9 A r B n L L N h Z U Y + G D 3 e X v x p P / / Z + q Y 5 h I n R V 9 c i I 5 H C 5 9 8 V C c X C 0 t I s u j Q B + j o d h L T i P 2 I V b 5 x f / + b 7 v W r m 9 p k 7 5 V X 0 O v i s c X f 5 x s / 6 K 9 L G 9 R d P O n f P J A 6 O O / 7 p p T j t 5 o + T g Z r 4 o P E v P H y P Y m H 9 8 V 3 b L C 7 u C 6 L o R 2 + w X 4 f t g G s Y 8 7 i c q r r S a q 2 x Q Q X P x q A R h P x / b k 8 d H J 0 b O i r d + N P p z u I m G i g u I u / n 8 z / l B i U e J U S J R 9 9 n 8 O 6 d i I O q 5 X w Q n a 6 x e c L j U d C L U Q G o 2 C c i m L d s O g t k 0 t V J Y 1 a h C g Y X l o e 0 J L l 7 w W 8 7 0 o 1 + J N 9 N g m s K Y K W R v n 1 Z i q w n + W W 4 g / q 1 4 J s d y M Y O N 3 r b l i W h M 5 3 / d 2 0 V / b c + V b o u Z K Y K 6 E / Z X n N c 9 0 Q s q 8 p w a u B f b a / X P P J c 2 f 3 y 7 m N 3 Y J t j P O 0 f / 2 K q 6 f 9 K o P a 3 o V 1 0 5 6 1 W i / n W l z 3 Q t 7 2 Y U d i 3 a + 3 2 2 / 1 c 4 f 7 4 u d K + W 7 3 b 3 T D 4 / 0 b D S e 3 Y V f 0 n i 8 6 F / T s f Y 1 v X n t 7 C P y g n M 7 a T S 3 Y + 0 L V W 5 E s J N J s y m d b C b R R Q g y Z 2 e R i 5 l 7 W j f R 0 3 Y T f d v K z V i 8 X 8 z z x 3 x 2 E q 3 y 0 X R 5 Y s 2 K Z T 6 1 9 6 w M j P X 8 X 8 u R 9 U 2 9 1 O f P d F P W s m j F Z o f V v q 1 f z a c 3 4 5 m 2 s c W r + / e j X Q B y t R r g O H I c R o 6 j y H E Q O Y 4 h x y H k O I I c B 5 C T + H E 3 f N z O 0 k 2 H F t u e M T b E S f S f 6 / k q v 1 7 9 a h X w / X y W P 9 v f p g h Q D m n O t R A 8 3 f G 6 L l R 2 n d 9 a C 3 L v w p n K W s A n g T s Z c y c T 7 m T K n c y 4 k 3 3 u 5 I A 7 O e R O V n r 3 z h 6 k / u p u y 7 D u o a n u y w H 6 + 2 4 f x P J 2 t M r v 5 w u C R P B 3 t F W D E 4 j r B J I 6 g b R O I K s T 6 N c J D O o E h n U C e G 8 N K 3 H Q A P D v f K R Z d j O F y 0 3 G U P V W K P k V + b 2 w j 6 k u 2 Z j z w O + 6 9 0 O / 5 f t h a 5 i W s U d y e 6 W A M b f 1 r k x l 0 H x X b h t Z R 5 s t I 1 U b R r O 5 f b U 8 j G z n Z g / W z 5 m / i 2 7 W E w v y z f q h M o Q L i S h f 3 Z 5 W d 3 l Z h t n n i + i x f A v b P 2 d n 9 q K H e V 6 6 S t P K I v g 7 9 2 P Y G O q 3 M 4 b 6 O m P I 6 Y b c v E D r B o 2 M o 7 7 O O G r S q D f z y X 0 R 0 6 V w g A q x R d h c G p R L p R t Z t m W V T r Z b N n b U E + a l O u R F D v P s f S e N c 5 A 4 1 4 d 3 a n h 3 R X J I J J d D d i o C T s L 2 o t P d / Y v z 4 4 / u L 9 s n + L / s n + H 8 x t n d O m O y b g U U D G d C i P j J a 9 z k I z h 3 h E i Q n U R b U 9 l Z 5 K x a 1 y v u 5 0 3 4 J f f 7 + 0 0 4 J v f b w z Y 8 E / 3 I L q P 2 / O v 5 a m R P b 5 b k M j y 0 3 A 5 U 0 l x 2 o h W z 0 w 3 r j Y 7 L f V h p G d T 5 j C y o 4 q Q v H 2 R H i O 2 V n T R n 8 0 f 7 i I f x l s Z 8 M f v N D i B 7 + P z F 5 f 6 4 D E 8 u t W n f q d G P j / Y 4 v 9 t P 5 8 0 O L D w c m D 1 Y Z P t W a B c W E W X 3 Y R E Z t B N L / A 2 8 3 + p 3 Y 5 E L f r K L Y B k o u 3 3 b b b d N F n 2 Z 5 r d 2 R B Q T d N u l v z r O x W Q 7 m i s j l T d X V G b A U D Y D 6 p b z y g 6 o m Y c q Q + V b i 3 r 5 g N W v j + V b Y N 8 + x 7 1 5 b W f j 8 p 0 F u 2 r i a y t b a 6 0 M N 9 6 s v A y 9 m K 2 y 5 L S 4 2 c Z 2 I O s 1 + Z 1 Z v c M S 4 E u w K 3 u d D H c f f t U P S D n v g I A U e i M Q O f n 9 w N 2 Q e 1 v w c v 6 7 g 8 i p X g v 0 3 s G x K f Q M v z G I 0 L U 8 M L y 3 i T A u Q l i L X R B e L g F h 5 l X D S 3 M v H l 6 S f Q 0 R U e G l R K Q C r y g i q X p h s X N Y v x I 7 l 2 9 X p G / y Z b G f p l h r o 8 X 4 A / q g Z H 8 4 r l m z y k U H v / N + K C z e 0 8 t 8 e V u 9 G O 2 j v v h i P L N P 4 5 / 3 7 3 / 5 4 i 9 f L N + P 7 H s v e n l 5 b h 8 / y V e l 9 M X C v p y / j L 5 a f j y 9 n N + u p 8 V 2 3 a / H J Q c x K w 2 T 4 6 O z H 5 e 2 n 2 e r D / n N T W 7 O X o 1 v F q P F r 2 d f T e b r u + v V f D G 6 z 8 9 + m O W X i / H H / P n X 9 s 1 a V N 3 O r Z 6 / y Q v H a p l f b x G + H 9 s T d i p s T x R t u 1 6 d f r u + y R e r 9 f L s G / v j w g L z P H r x 2 j 7 + 0 / j h w S 4 L 1 i B 4 M b O j x I p / L G 2 C M + h B d n a 7 / F j B Y t e O 2 d n W t C / + v D w v B E 6 t Q P F F 7 e e d e 1 7 k d C o c 9 M 1 b y R 5 m v e Q k + t v s d l 4 o s T h O e z 3 z t o S t e p W M i g 7 Y 9 + e q 8 A 8 s 0 O X + l Y / 5 a L 2 H 8 O + L + d Q 6 / B v Z 4 0 K h 9 q G b s + e T y f X t a G L t 9 y 9 X i 3 X + t v Y d V f u G C r W p H C n e J p r y G Y V 1 5 N D 8 3 o b p W i H Q C M U a o U Q j l G q E M o 1 Q X y M 0 0 A g N V c r s q a R U O j c q p R u V 1 o 1 K 7 U a l d 6 N S v F F p 3 q h U b 1 S 6 B 0 b 3 X P q 0 G h F G 6 1 w 6 t B o R R t 9 c 6 r M a E U b T X J q z G h F G x 1 x K s z r V a d S r 0 C 8 3 r N k 8 Z X U y C h V z A 5 p N Q 1 Y n o 9 A y N 5 T Z L G N 1 4 0 + h Z 9 C M Y 4 W e Q a F n U O g Z F H o G h Z 5 B o W d Q 6 B k U e o 6 l p X r H z x Q R c p x D x Y k x P h U n F u v E E p 1 Y p h N L d W J 9 n d h A J z b U i Z W r i k Z O i Y N R A m G U S B g l F E a p Z K P E z C j R M E o 4 j B I P 4 P B g U 4 r W C n F I s C l E a 4 U 4 D N i U o b V C n P b Z F K G 1 Q p z e 2 Z S g 9 c r U q V y l c 3 b 4 8 + k + 6 6 V U a m c H P p / T s 1 5 K p X l 2 y P O J O + v H q E r 3 o B v v K t 2 D S v e g 0 j 2 o d A 8 q 3 Y N K 9 6 D S P a h 0 H 4 t L f 6 2 t w 0 i p n C X O 3 m G k V M 4 S Z / M w U i p n i b N 7 G C m V s 8 T Z P o y v r r N + 2 J H P y S l f u + z o 5 + S U r 1 1 2 B n B y y t c u O w s 4 O e V r l 5 0 J n F 3 I z A V M + u 2 w W o 2 n 1 e / k y x c W + F y X B p 9 P g h + g p k 6 i o 4 m T A X d X R O d f B L O 5 L F 5 T V a X 5 f j 2 9 K e I B 5 u v Z 3 e X 8 0 + z 4 c l 2 w h P P Z 6 e X o 1 + X x z 5 i 0 e v t 8 d 0 / i u 7 9 9 d h Z n 6 b O q v E 1 P V z i o Y b L / o p t v U D b Z X U d 3 v S / r A J n B p u K O b a h b C M i R E k s K O T J F 7 R 6 z v 9 O 2 W F D x 9 1 V t 8 Z 5 2 t X t c J K E e S X C Q / K I b J K E V k k J v A 9 p B W A K H J a i w D J V D d W Q O w r J d x V H j g h n X g x l 3 D 2 b c C s y m R Y I A g x l z Y M Y q M E P V V x 2 Z O j A D b W 1 X 3 h R c K J N 6 K J P u o U x a Q d m 0 O E + M o U w 4 K B M V l K F S r 4 7 M A V C 2 q 6 U a u 1 C m 9 V C m 3 U O Z t o K y a W m c B E O Z c l C m K i h D d W U d m Q O g b F e 4 N X G h z O q h z L q H M m s F p d D d g H o Q l B k H Z a a C M l T E 1 p E 5 A M q W V W J d K P v 1 U P a 7 h 7 L f C k q h u w H 1 I C j 7 H J R 9 F Z S h i r m O z A F Q t i t J m 7 l Q D u q h H H Q P 5 a A V l E J 3 A + p B U A 4 4 K A c q K E P l e R 2 Z A 6 B s V / + 2 7 0 I 5 r I d y 2 D 2 U w 1 Z Q C t 0 N q A d B O e S g H K q g D N U C d m Q O g L J d s d 0 B 4 g h 6 9 V h a m c 7 B L O 7 Z A k 2 h x w E N Y a K g x 8 F p e j q q I F R + 2 B U 6 A F H b w D a Q D h G k G t 7 H P A G k 7 Z g f q c s h H W F Q e f p H y f + o C C A F A x R q c D s C q O r n r g 0 K D s g 8 A Q l k W r J A j W k g w g M Z l g g y O i b I a K g g o + C C Q g 1 u S Q U h L s g o y C D z B G y Q a U c H S X 0 O K Q m j y j J C R k c J G Q 0 n Z A 4 j h U w 7 V s g g W s g o e C H z B M S Q a c c M S X 0 O K Q m j y p J D R s c O G Q 0 9 Z A 7 j h 0 w 7 g s g g h s g o K C L z B B y R a U c S S X 0 O K Q m j y v J E R k c U G Q 1 T Z A 6 j i k w 7 r s g g s s g o 2 C L z B H S R a c c X S X 0 O K Q m j y l J G R s c Z G Q 1 p Z A 5 j j U w 7 2 s g g 3 s g o i C P z B M y R a U c d S X 0 O K Q m j y r J H R k c f G Q 1 / Z A 4 j k E w 7 B s k g C s k o O C T z B C S S a c c i S X 0 O K Q m j y h J J R s c k G Q 2 V Z A 7 j k k w 7 M s k g N s k o 6 C T z B H y S a U c o S X 0 O K Q m j y n J K R k c q G Q 2 r Z A 6 j l U w 7 X s k g Y g k U x B I 8 A b E E 7 Y g l q c 8 h J e G 4 B Z Z a A h 2 1 B B p q C Q 6 j l q A d t W Q Q t w Q K b g m e g F u C d t y S 1 O e Q k j C q L L c E O m 4 J N N w S H M Y t Q T t u C R C 3 B J r 4 o q c I M G r H L U l 9 D i k J o 8 o H G S m j j F R h R o d x S 9 C O W w L E L Y G C W 4 I n 4 J a g Z a h R 4 1 g j w i 0 B y y 2 B j l s C D b c E h 3 F L 0 D L i C H F L o O C W 4 A m 4 J W j H L U l 9 D i k J o 8 p y S 6 D j l k D D L c F h 3 B K 0 4 5 Y A c U u g 4 J b g C b g l a M c t S X 0 O K Q m j y n J L o O O W Q M M t w W H c E r T j l g B x S 6 D g l u A J u C V o x y 1 J f Q 4 p C a P K c k u g 4 5 Z A w y 3 B Y d w S t O O W A H F L o O C W 4 A m 4 J W j H L U l 9 D i k J o 8 p y S 6 D j l k D D L c F h 3 B K 0 4 5 Y A c U u g 4 J b g C b g l a M c t S X 0 O K Q m j y n J L o O O W Q M M t w W H c E r T j l g B x S 6 D g l u A J u C V o x y 1 J f Q 4 p C a P K c k u g 4 5 Z A w y 3 B Y d w S t O O W A H F L s Y J b i p + A W 4 r b c U t S n 0 N K w t s o W G 4 p 1 n F L s Y Z b i g / j l u J 2 3 N K m n 0 W 7 N / 1 7 N V 6 u T r + y K K 2 O y z + v 8 0 l + u z r + / W e H P n 1 7 4 h w B O o r R U Y K O U n S U o a M + O h q g o y E 6 M j 1 8 a F s T u c e 4 P Q Y 3 y C R E G r f J 4 E Y Z 3 C q D m 2 V w u 6 C H b w 1 E T b h d g N s F W F O A m w W 4 W Y C b B b h Z g J t l x 9 X n D b S / F J m 9 S q y f P a s Z T U 3 5 n a p i W z l O / x x H h 4 + j f 4 p h d F U / j J o S S l X V 6 X L p + 3 M Y / U G G 0 X k 1 j G q z 5 q K y X D h r b m g A l s n + N i 8 4 K U G q L n s / y A 2 o a f i 2 D V d O G 2 j y 1 X K n + m b k y 7 l z / Z I u + 1 q C b v O m 8 4 / a 5 p U q 2 t h a f t W m c Z U f + n E x f z f O J 2 X b J v f 5 N M 9 n Z W 7 k N 6 X k p / x u u V q U K d + d s 0 U a 3 c l o u d z m U d 6 d H e 3 z 3 o o / R H f 5 a j S e L L H A 8 v 3 8 U 3 m m S g o d 0 Q f 7 p 9 F 9 L j Z p Z r 3 r d j + 4 0 t 9 t E 9 f 6 j + F + I d c 6 G c v p 5 d e b b P f l w a t 9 l t n 9 8 S a R b H n i 5 T Y D b H n 0 7 S Z z L L 2 2 y t J a n v 3 b 8 6 l t x + h u U W W D h j w i Z 1 7 8 f Z v + O l 8 c B Q Y U n n J 4 S H H j b z + O 3 u w H k I t p O Y j H d + u 8 G k n b c p v V i N + W 2 i y O h O y b Y t 4 x p 2 g 0 v t k v I N w O p N v h g q S 0 H G k i 3 C 6 W b o d L 0 d L a p Z l w u 0 S 6 H S 6 G S g u d D o T b p d L t c K l k r y J 5 T 7 h f J t 2 P 1 J m n Y B g J j b 5 0 Q 1 I R 3 K v 6 L u E x k G 5 I q r B 7 J c w l R I b S D X E t X 0 M h M R I m r n L J g M a 1 a P 3 y 0 h I s R p 4 j p K K 0 N 0 s k Y I w 4 T 2 g d b 6 9 w r w S N E e e K I X W b / U q / 0 i 3 F + W J I 9 W C v N L A I j z h n a H 1 x C k 8 s w i N O G 4 P n T U z h i U V 4 x I l j 8 M y J K T y x C I 8 4 d U j d 8 5 j C E 4 v w i J P H 4 N k T U 3 h i C R 4 Q Z 4 8 X P 4 L j L O j O J b x v i 2 5 W w x v 1 a B Q Z j q G j k Y M 4 b p J G i + J Y W R o h j O O j a V Q 4 j o m n O w H w P g i 6 + w P v f a E 7 f v B + J 6 I r p C q i K a Q o o i e k J q I l p C S i I 6 Q i o i G k I K I f p B 7 6 L R s N B t J 7 1 H k 8 M O k k T 6 R J D u I a D P i W C Z 3 k i W i q y L Y K X o M T z 1 q R J j m I a z D g N T i h k z y R J j m I a z D g N T i h k z w R J 7 m 4 B g N e g x M K T y r C I 6 7 B g N f g l M K T i v C I a z D g N T i l 8 K Q i P O I a D H g N T i k 8 q Q i P u A Y D X o N T C k 8 q w R O L a 3 C M 1 1 w a + 4 V j p G g M E Z 6 i d P 7 i m A 0 a 0 4 C / / d N v 4 / g b M v 3 G i r 9 F 0 m 9 1 + J s W / e a D 4 2 5 p X C p a O G O y q t r j 2 h R 0 s R D C w / t s J / v K R D R W l M l P 2 z 7 7 X P R 8 e 0 9 N 9 j m 5 c 0 0 j W W J U b Z M G T j L Z d T v v o h A 0 K b e 4 a V h H j O q F 0 i h C J j f w 2 y 8 7 7 e A u f l D Z v 6 Y B D j E q d 0 r j 6 Z i 0 x h 3 3 L 2 n Y v 6 a f + m N U r Z V G l j E Z m T v u X 9 q w f 0 0 / e s e o 2 C y N s W K S S X f c v 6 x h / 5 p + / o 1 R r V w a b c T k w e 6 4 f / 1 m / U u a B t n H q N Q v j b t h U n h 3 3 D 8 h 4 k b u Y N P v k Q m q V E x D U J j 0 4 x 1 3 U A g + k d v b 9 E t Z g t / z N B y D y 5 3 e c R e l / D F y k 5 s G I i e o 7 r a X V I X L / N 5 1 H 5 s a M 0 n j x I D I m P F S j H B 5 6 7 v u Y 1 N r J m l q z S T I m v E S b n B Z 9 7 v u o 7 A h Q m 5 y U 4 s m Q R a N l 3 6 C q x n Q d R + F 7 Q F y k 5 t a N Q m y a r x k D F z F g 6 7 7 K A T L y 0 1 u a t k k y L L x U h N w 9 R q 6 7 q M Q O i 4 3 u a l 1 k y D r x t u o z 1 W b 6 L q P Q i C 1 n H S z q Y W T I A v H 2 7 b O 1 c r o u o 9 N j Z y 0 q Z G T I i P H 2 8 T N V f r o u o 9 N 7 Z y 0 q Z 2 T I j v H 2 9 L M 1 S n p u I / S d m a 5 y U 3 t n B T Z O d 4 G X 6 7 K S t d 9 b G r n p E 3 t n B S T N v W s T e d 2 j r T V V W 5 y 4 8 z A y M 7 x N n 9 y F W 6 6 7 m N T O y d t a u e k y M 7 x t k J y 9 X m 6 7 m N T O y d t a u e k y M 7 x N g Z y 1 Y W 6 7 m N T O y d t a u e k y M 7 x t s l x t Z G 6 7 m N T O y d t a u e k y M 7 x N o 1 x l Z 2 6 7 m N T O y d r a u e k y M 7 x t l B x d a m 6 7 m N T O y d r a u d k y M 7 x N h R x V b W 6 7 m N T O y d r a u d k y M 7 x t t d w N c G 6 5 v z b b a 2 R N p 6 E V G N 7 e o E + u + + 6 u j N m A z t m H J n / + N I a Q x u p i x f X v F C x q y b e C Z 3 z Q l Y m 2 c l c i T J p n U z x s G 2 7 v / 7 h x 9 f b L T w X V z 8 d K R X a L p 9 I 9 V 3 x A k U 6 e G o N J c 5 w Z O r V C h q 1 g k K t o F A r d K L W d g k 9 q l i s C x R c 4 q k 1 l L n C k a l X a 6 x R 6 0 Y o r N d Y o d e 4 E 7 2 2 S 6 k R k 1 U g 4 f Q a y h 3 h y N T r N d H o N V E M 1 0 S h 1 q Q T t b Y s q B N j t a a c W k P J G x y Z e r W m G r W m C r W m C r W m n a i 1 X V K J 6 n v 8 B Q p b 8 9 Q a y p 7 g y N S r N d O o N V O o N V O o N e t E r e 2 y O l R h A B c o U t B T a y h 9 g S N T r 9 a + R q 1 9 h V r 7 C r X 2 O 1 F r u 7 Q K V f T B B Q r O 9 N Q a y h / g y N S r d a B R 6 0 C h 1 o F C r Y N O 1 N o u r 0 E V 9 H C B 4 m E 9 t Y Y 2 8 D s y 9 W o d a t Q 6 V K h 1 q F D r s B O 1 t k s s U M V a X O A g Z N 8 h C O 2 h d 4 U U L k F P 5 R P 0 N E 5 B T + M V 9 L r Q r h T j U Q 8 K 1 i 7 v b q n 8 L Z 3 D p f O 4 V C 6 X y u f q x O m S A k z q Q c H a Z b 2 u Y C 0 M V 0 i h X Z X j Z T S e l 9 G 4 X q Y T 3 0 u K b q k H B W u X d b 6 C N S l c I Y V 2 V f 5 X 9 c A 6 7 W o c M N O J B y b F 1 d S D g r X L u m D B 2 h C u k E K 7 K i / M a N w w o / H D T C e O m B T R U w 8 K 1 i 7 r i Q V r N L h C C u 2 q n D G j 8 c a M x h 0 z n f h j U i x R P S h Y u 6 x D F q y V 4 A o p t K v y y Y z G K T M a r 8 x 0 4 p Z J U U z 1 o G D t s n 5 Z s G a B K 6 T Q r s o 1 M x r f z G i c M 9 O J d y b F T 9 W D g r X L u m f B 2 g G u k E K 7 K g / N a F w 0 o / H R T C d O m h S 5 V Q 8 K 1 i 7 r p Q V z + L t C C u 2 q H D W j 8 d S M x l U z n f h q U s x Y P S j 4 I w P r q w V z 6 b t C i u 8 M K l 8 N N L 4 a a H w 1 6 M R X k 6 L V 6 k H B 2 m V 9 t W B O e 1 d I o V 2 V r w Y a X w 0 0 v h p 0 4 q t J c X L 1 o G D t 8 l / I V J / I d N / I d B / J V F / J V J / J O v H V p A i 9 e l C w d l l f L Z j j 3 R V S a F f l q 4 H G V w O N r w a d + G p S b G A 9 K F i 7 r K 8 W z L X u C i m 0 q / L V Q O O r g c Z X g 0 5 8 N S k q s R 4 U r F 3 W V w v m P H e F F N p V + W q g 8 d V A 4 6 t B J 7 6 a F A 9 Z D w r W L u u r B X O P u 0 I K 7 a p 8 N d D 4 a q D x 1 a A T X 0 2 K x K w H B W u X 9 d W C O c B d I Y V 2 V b 4 a a H w 1 0 P h q 0 I m v J s W A 1 o O C t c v 6 a s F c 3 K 6 Q Q r s q X w 0 0 v h p o f D X o x F e T o k / r Q c H a Z X 2 1 Y E 5 s V 0 i h X Z W v B h p f D T S + G n T i q 0 l x r / W g 4 M g l 1 l c L 5 q Z 2 h R T B S y p f L d b 4 a r H G V 4 t 1 v p o Y i B i 1 9 C N K L + 1 6 k 0 J 0 q 1 M x T 6 1 D R b w 9 c Y 4 A H c X o K E F H K T r K 0 F E f H Q 3 Q 0 R A d l X l q 3 e + A R e Z Z 9 8 s V / h k 3 q M p T 6 7 L Z + G f c K I N b Z X C z D G 4 X 4 H Y B 0 R J u F u B m A V Y U 4 F Y B b h X g V g F u F e B W 0 T y 1 x Y j f p a m V R 1 T T q N 8 q W 8 v V f H Y f v Z l P P o 2 W y 3 y W / z m k / h h D q l i i 6 o d U 0 8 1 k V Q L T q 3 W b 5 e m L P w f T P + t g e n G l G U x N d + 1 V 6 W v P d 2 m o / 1 y a / i C j y U n K z i U Z Q 6 n Q c W L o 0 O A r E 0 R f 7 N K M 3 2 y y b s / y G Z N n n E k s t j u 7 v H 0 / f l h F e Z H H f J 6 / y 2 d 3 2 9 8 u c y 8 3 N J O + i x U G V j j m h W N W O O G F E 1 Y 4 5 Y V T V j j j h T N W u M 8 L 9 1 n h A S 8 8 Y I W H v P C Q B 6 w n o N L j x Y 0 g z q N o B B g N j 6 M R g D Q 8 k k a A 0 v B Y G g F M w 6 N p B D g N j 6 c R A D U 8 o k a A 1 P C Y G g F U w 6 M K A q r A o w o C q i D M T W l y 8 q i C g C r w q I K A K v C o g o A q 8 K i C g C r w q I K A K v C o g o A q 8 K i C g C r w q M Y C q j H O M e E e o K w F a H s / 2 g e P N o y j n d V o C z L a q 4 u T d + A m 4 M R X O E U U T q a E 0 w 7 h B D 0 4 l Q 1 O + o L T o + A N t n g r K t Y H T u O A E x 7 g 1 A B 4 E z 3 e b o 4 3 Z u M t z K g t d M c f / Q J H 6 B 9 8 S E h 5 w i I T 2 p P w d I R Y o h H G t F k 0 i p P G H d J I O R r b R a O R a P w M j f i g 8 e T 0 q z r 9 D k z 1 R r + 1 0 a 9 D 9 H s G Z e A p Z 0 x Z T h p D Q d p X w V q a U d P R y F o 5 d 3 a W R s e 7 i h 3 P X 1 w + K y Q u x 8 v b y W g 8 z R f l 0 d x a T / m i m L T W 9 C p M q f f z + b u 7 h / n i c V m e n 9 9 H u b W X o O C z i n P T P C + r h X x f z P J S 9 t a a e a P Z n b X N y h t u l 4 F p W V P F q W G C f v 2 4 K c 2 C T m 4 N O + m i 6 b Z + i i R Q N n G 5 K Z N S L k x v X r 6 8 f h Y 5 r F t 5 6 u p Z t P V 0 o 9 V Z 8 U K M P o x G C + f n j a l Z 3 n B / X V H q Z l 9 b p 7 z S o C v P h S v P / U a c h x t x X v e s a / + W 1 + F b X g d v u V P i F u o d y u O Z V f b 6 d p W v 7 X j a D 4 9 n O 4 G 7 8 W J 8 n 8 9 W / K + r 0 f R m b s f f d D R e L X J e p q g x V A w + 9 9 n / b b U 4 f 4 z s N U W V n N F k G R 1 v f y 4 v f D N f V B e u P u X 7 4 b Z 4 s M J Y s L j R e r x 6 m E 8 r h + E u / z c i 8 d 3 u Y i P + A u S X l + V 0 u M m X q 9 F o V d w / O j 0 9 j Y q Z O M u n R Q U b L O 5 r 0 v 9 5 q 0 f m J 6 p E J H H 8 3 f l + y O 4 m i W 0 B 9 o 4 c W c Z B K s / 7 U y 3 i f h 1 Z r c + 3 C 0 9 0 b N c E + 5 d t 1 k O + / s 0 + d z q / L z n w D U y 7 K i z l C u c W O a m 2 R j F N g m C T g N z X K 0 C z S b P v 3 z c O 3 h f n s D d V p D u 6 b y z c N w n e N y H 3 9 a r H b L L j + / d N g / d N y X 0 H 3 n 2 H w n 2 z 4 H 2 l 1 v S D V 5 G a O 9 X 3 e 7 c 1 a S r c d x C 8 7 0 C 4 a h i 8 S u q 5 6 Y V H u z R y T M 0 s M d J 1 4 a H s / s z 5 n e J 1 0 k g 0 4 a H o / s x 5 o u J 1 E n Y m P J S M N J Z M e D A Z a W U w 4 c F i p N F i w s P F S O M F w u M F p P E C 4 f E C 0 n i B m q V P G i 8 Q H i 8 g j R c I j x e Q x g u E x w t I 4 w X C 4 w W k 8 Q L h 8 Q L i m y Q 8 X k A a L x A e L y C N l z g 8 X m J c p A v 8 Y l U b D b z 6 x t 5 g V L 3 S y x p 9 G 4 M y m j j F + x j 2 s 7 z u b v v g / Z W k 3 h 1 4 x a J g U y 1 K v A E t 3 O X V x N p U X R J v Q M p 0 e W V n I C F V t 7 w X J S R Z + B H 0 B l 4 b k w G R 8 K q k p Q Q h r 6 I L p D W K q r z 0 P U y 7 w 0 1 5 x u J 4 W 4 + x t C S 3 l R r J d d U 9 o 5 n 1 Z q L 5 2 h p Y k X W y t j b 9 a W m z o w x N 5 Z l x Y Y d b 0 c J p 2 w 2 7 q l 3 3 + Y f 1 o j D V o q I C 5 X x R m N W r 0 o l a 2 n 5 Y 6 c X S q 8 i 5 V U N K 9 Z R h N W V U S 5 l D v P m 0 + y 8 Z H g w Z N R a y N H w 5 r r q T U Z y z Q f h y X L u m 3 y O X 9 4 P f D H 7 p 4 6 n Q p w O 5 n 4 Q v x 3 Z b n 5 r F / X 7 4 c j y E + x S Z Q S 9 4 + Q A v B A N q 5 A 7 i 8 O V 4 i g 3 o F B 1 k 4 c u x l T i g J u t g G L x 8 i E f d k I 6 6 Y X j U D f G o G 9 J R N w y P u i E e d U M 6 6 o b h U T c k N R 9 7 d N i Z X n j c m R 7 x f H p e Y c t e e O i Z H v E Z e p 5 P 1 g u P P t M j p T B 7 n v d l w g P Q k K q S x n h + l g m P Q U P K M x q / H q c J D 0 N D 6 h w a 4 / l O J j w S D Z B y m 1 5 x T A P h w W h I z T Q D n s c E 4 f F o S P E x 4 9 W p N B A e k o Z U 8 T K x N y b j m j E Z U 2 / c G 5 N x z Z i M a 3 o Z 1 / Q h q W l h U v P 8 h H q u n g 5 S M m J T b 8 S m B M v U m 1 c p f Y o 3 b 8 g r 1 W T e U 8 h b 0 2 R + H V r O v N b S N b Z R n L W s v z w 7 h C y y l 3 O + S I P L i Y Y z b 0 5 n n F G v f 0 C f A N T 3 p n y f 8 9 4 a P I D g 2 / d W h D 7 n d j V 4 A F k w + t 6 C 0 T 9 s B P T J e j L w 5 t L g s D E y I M v N w F t u B o e N o g F 5 Q w 6 8 m T z g X N E G D y A v 0 I G 3 E A w 5 H 1 L / g C F Z r Y b e O j L k y I I G D y C v 3 6 G 3 D A 0 P W 4 a G Z C Y P v Z k 8 P G g m Q 4 8 4 e T 3 P y e s d N J O h R 5 z d H p 3 J 0 D t o J k M v I w / w X N 3 e Q T M Z e n g m g 6 E z G V h K V P 8 A W g n c q 9 I O L J f Z 4 A G k 4 r a h M x l Y E r L B A w i Z 4 J d c Z 9 l D / Q N I 7 V 8 A O p O B p f 0 a P O A w D Z N K t Q B 0 n g J L o + k f w L J p D S 4 n s z D 2 Z m F 8 2 C y M D 1 r n I C Z z L P H m W H L Y H E v I H P N q C U N K K D O v N D C k Z K X x K v 1 C S u a B Z 9 o C M W 3 B o 4 s g I y 3 N v J Z m p K W e 8 Q u E F Q K P F o K M t D T z W k p s P P B s P L A 2 3 r b y 7 v e j M s D V w v G w j X a 9 z z + N P / w 2 v r + L B m 6 w a 4 H b P t i V j 4 0 9 i X 7 / / e j 7 P J + u o n V J L J Y f v Y s w i f v R a l y F X V x u j 4 4 + F 1 G x b y z s s / H 9 e H a / n K 2 n m 5 g O e / J 0 t j g 9 + r x t 5 k / l r q R o v C y e 9 7 G I E J m 5 b X u c j G 7 z N 6 P J O j + u 7 Z K 9 / d W o + P c f 9 p / N p Y v t P V 7 n / 1 g V r d o 3 8 m T 7 B b 1 i I L d s Y 0 E 1 F j 7 Y X f 5 u P P n f / 6 k 6 h o n U W d E n J 5 L D 4 d I X D 8 X J 1 d I i s j w K 9 D E a i r 3 k N G I f Y p V f / O / / t m v t + p Y 2 6 V v 1 N f S q e H z x x 8 n 2 L 9 r L 8 h Z F N 3 / K J w + E P v 7 r r j n l 6 I 2 W j 5 P x q v g g M X + M b G / y 8 V 3 R L S v s D q 7 r Q m i 3 X 4 D v h 2 0 Q + 7 i T q L z a a q K 6 T Q H B x a 8 W g P F 0 b E 8 e H 5 0 c P S v a + t 3 o w + k u E i Y q K O 7 i / z f j D y U W J U 6 F R N l n / + e Q j o 2 o 4 3 o V n K C 9 f s H p U t O B U A u h 0 S g o l 7 J o A 3 5 9 k 1 p o L G v U H k C j 8 t D 2 h F Y u e S n m e 1 E u x Z v g s U 1 c T R W x N s 6 r I V V F / y y 3 C H 9 W v R F i u R n B x u 9 a c 8 W 0 J n I + 7 + 2 C v 7 b n y p d E z Z X A X A n 7 K 8 9 r n u l E l H l P D V w L 7 L X 7 5 5 5 L m j + / X c x v 7 A p s J 5 y j / + 1 V X D / p V R / W 9 C q u n f S q 0 X 4 3 0 + a 6 F / a y C z s W 7 X S / 2 3 6 q n T / e F x t X y l e 7 e 6 c f H u n Z a D y 7 C 7 + j 8 X j R v 6 V j 7 V t 6 8 9 b Z B + Q F 5 3 b S a G 7 H 2 v e p 3 I h g J 5 N m U z r Z T K K L E G T O x i I X M / e 0 b q K n 7 S b 6 t p W b s X i / m O e P + e w k W u W j 6 f L E W h X L f G r v W d k X 6 / m / l i P r m 3 q p z 5 / p n q x l 0 Y r N B q t 9 W 7 + a T 2 / G M 2 1 j i z f 3 7 0 e 7 + O N q N c B h 5 D i K H A e R 4 x h y H E K O I 8 h x A D m O H y f h 4 2 7 0 u J 2 l m w 4 t t j 1 j T I i T 6 D / X 8 1 V + v f r V K u D 7 + S x / t r 9 N E Z 8 c 0 p x r I H i 6 4 3 V d q O w 6 v 7 U G 5 N 6 D M 5 W x g E 8 C d z L m T i b c y Z Q 7 m X E n + 9 z J A X d y y J 2 s 9 O 6 d P U j 9 1 d 2 W Y d 1 D U 9 2 X A / T 3 3 T a I 5 e 1 o l d / P F w S J 4 O 9 o p w Y n E N c J J H U C a Z 1 A V i f Q r x M Y 1 A k M 6 w T w 1 h p W 4 q A B 4 N / 5 S L P s Z g q P m 4 y h 6 q 1 Q 0 i v y e 2 E f U l 2 S M e e B 3 3 X v h 3 7 L 9 8 P W M C 1 D j + T 2 S v F i b u t d m c q g + a 7 c N b K O N j t G q j a M Z n P 7 a n k Y 2 c 7 N H q y b M 3 8 X 3 a w n F u S b 9 U N l C B c S U b 6 6 P a 3 u 8 r K M s s 8 X 0 W P 5 F r Z / z s 7 s R Q / z v P S U p p V F 8 H f u x 7 A x 1 G 9 n D P V 1 x p D T D b l 5 g d Y N G h l H f Z 1 x 1 K R R b + a T + y K k S + E A F W K L s L k 0 K J d K N 7 B s S y q d b H d s 7 J g n T E t 1 S I s c 5 t j 7 T h r n I H G u D + / U 8 O 6 K 5 J B I L o f s V A S c h O 1 F p 7 v 7 F + f H H 9 1 f t k / w f 9 k / w / m N s 7 t 1 x m T d C i g Y z o Q P 8 X P X u L l H c O o I k R 8 7 i b a m s r P I W b W u V 9 z P m + h L 7 v f 3 m 2 h M 7 r e H b X Q m + p F d R u 3 5 1 / P V y J 7 e L M l l d G i 5 G 6 h k u e x E K 2 a n G 9 U b H Z f b s N I y p v M Z W V D F S V 8 + y I 4 Q 2 y s 7 a c 7 m j / Y R D + M t i / l i 9 p s d Q P b w + Y v L / X E Z n V x q 0 7 5 T o x 8 f 7 X F + t 5 / O m w 1 Y e D g w W 7 D I 7 q 3 Q J i w i y m 7 D I j J o I 5 b 4 G 3 i / 1 W / G I h f 8 Z B f B M k 5 2 + 7 b b 7 p o s + j L N b + 2 I K C b o t k t / d Z y L y X Y 0 V 0 Y q b 6 6 o z I C h b A b U L e e V H V A z D 1 W G y r c W 9 f I B q 1 8 f y 7 f A v n 2 O e / P a z s b l O w t 2 1 c T X V r b W W h l u v F l 5 G X o x W 2 X J a X G z j e 1 A 1 m v y O 7 N 6 h y X A l 2 B X 9 j o Z 7 j 7 8 q h + Q c t 4 B A S n 0 R i B y 8 v u B u y H 3 t u D l / H c H k V O 9 F u i 9 g 2 N T 6 B l + Y x C h a 3 l g e G 8 T Y V y E s B a 7 I L x c A s L M q 4 a X 5 l 4 8 v C T 7 G i K i w k u J S A V e U U R S 9 c J i 5 7 B + J X Y u 3 6 5 I 3 + T L Y j t N s d Z G i / E H 9 D 3 J / n B c s 2 a V i w 5 + 5 / 1 Q W L y n l / n y t n o x 2 k d 9 8 c V 4 Z p / G P + / f / / L F X 7 5 Y v h / Z 9 1 7 0 8 v K V f f w k X 5 X S F w v 7 c v 4 y + m r 5 8 f R y f r u e F r t 1 v x 6 X H M S s N E y O j 8 5 + X N p + n q 0 + 5 D c 3 u T l 7 N b 5 Z j B a / n n 0 1 m a / v r l f z x e g + P / t h l l 8 u x h / z 5 1 / b N 2 t R d D u 3 e v 4 m L x y r Z X 6 9 R f h + b E / Y q b A 9 U b T t e n X 6 7 f o m X 6 z W y 7 N v 7 I 8 L C 8 z z 6 M V r + / h P 4 4 c H u y x Y g + D F z I 4 S K / 6 x t A n O o A f Z 2 e 3 y Y w W L X T t m Z 1 v T v v j z 8 l U h c G o F i g 9 q P + / c 8 y K l U + G g b 9 5 K 9 j D r J S f R 3 2 a 3 8 0 K J x X H a 6 5 m 3 J W z V q 2 R U d M C + P 1 e F f 2 C B L r e v f M x H 6 z 2 E f 1 / M p 9 b h 3 8 g e F w q 1 D 9 2 c P Z 9 M r m 9 H E 2 u / f 7 l a r P O 3 t e + o 2 j d U q E 3 l S P H 2 0 J T P K K w j h + b 3 9 k v X C o F G K N Y I J R q h V C O U a Y T 6 G q G B R m i o U m Z P J a X S u V E p 3 a i 0 b l R q N y q 9 G 5 X i j U r z R q V 6 o 9 I 9 M L r n s q f V i D B a 5 7 K h 1 Y g w + u Y y n 9 W I M J r m s p z V i D A 6 5 j K a 1 a l O o 1 6 F f r l h z a Y p q 5 N R q J g b 0 G w W s j o Z h Z a 5 o c w m G a s b f w o 9 g 2 Y c K / Q M C j 2 D Q s + g 0 D M o 9 A w K P Y N C z 6 D Q c y w t 1 T t + p g i Q 4 x w q T o z x q T i x W C e W 6 M Q y n V i q E + v r x A Y 6 s a F O r F x V N H J K H I w S C K N E w i i h M E o l G y V m R o m G U c J h l H g A h w e b U b R W i E O C z S B a K 8 R h w G Y M r R X i t M 9 m C K 0 V 4 v T O Z g S t V 6 Z O 5 S q d s 8 O f z / Z Z L 6 V S O z v w + Z S e 9 V I q z b N D n s / b W T 9 G V b o H 3 X h X 6 R 5 U u g e V 7 k G l e 1 D p H l S 6 B 5 X u Q a X 7 W F z 6 a 2 0 d R k r l L H H 2 D i O l c p Y 4 m 4 e R U j l L n N 3 D S K m c J c 7 2 Y X x 1 n f X D j n x O T v n a Z U c / J 6 d 8 7 b I z g J N T v n b Z W c D J K V + 7 7 E z g 7 E J m L m D S b 4 f V a j y t f i d f v r D A 5 7 o s + H w O / A A 1 d R I d T Z w E u L s a O v 8 i m M 1 l 7 Z q q K M 3 3 6 + l N E Q 8 w X 8 / u L u e f Z s e X 6 4 I l n M 9 O L 0 e / L o 9 / x q T V 2 + e 7 e x L f / e 2 z s z h L n 1 X V b X q 6 u k E N c / 0 X 3 X y D k s n u O r r r f V k G y A w 2 B X d s Q 9 0 6 Q I 6 U W F H I k S l K 9 5 j 9 n b a 1 g o q / r 2 p r 9 7 Q r 3 e M i C f V I g o P k F 9 0 g C a 2 Q F H o b 0 A 7 C E j g s Q Y V l q B q q I 3 M Q l u 0 K j h o X z L g e z L h 7 M O N W Y D a t E Q Q Y z J g D M 1 a B G S q + 6 s j U g R l o a 7 v q p u B C m d R D m X Q P Z d I K y q a 1 e W I M Z c J B m a i g D F V 6 d W Q O g L J d K d X Y h T K t h z L t H s q 0 F Z R N K + M k G M q U g z J V Q R k q K + v I H A B l u 7 q t i Q t l V g 9 l 1 j 2 U W S s o h e 4 G 1 I O g z D g o M x W U o R q 2 j s w B U L Y s E u t C 2 a + H s t 8 9 l P 1 W U A r d D a g H Q d n n o O y r o A w V z H V k D o C y X U X a z I V y U A / l o H s o B 6 2 g F L o b U A + C c s B B O V B B G a r O 6 8 g c A G W 7 8 r d 9 F 8 p h P Z T D 7 q E c t o J S 6 G 5 A P Q j K I Q f l U A V l q B S w I 3 M A l O 1 q 7 Q 4 Q R 9 C r x 9 L K d A 5 m c c 8 W a A o 9 D m g I E w U 9 D k 7 T 0 1 E F o e r D r t A B i N o G t o F 0 i C D V 8 D 7 m C S B t x / x I X Q 7 p C I P K 0 z 9 K / k d F A C k Y o F C D 2 x F A V T 9 3 b V B w Q O Y J S C D T k g V q T A M R H s i w R J D R M U F G Q w U Z B R c U a n B L K g h x Q U Z B B p k n Y I N M O z p I 6 n N I S R h V l h E y O k r I a D g h c x g p Z N q x Q g b R Q k b B C 5 k n I I Z M O 2 Z I 6 n N I S R h V l h w y O n b I a O g h c x g / Z N o R R A Y x R E Z B E Z k n 4 I h M O 5 J I 6 n N I S R h V l i c y O q L I a J g i c x h V Z N p x R Q a R R U b B F p k n o I t M O 7 5 I 6 n N I S R h V l j I y O s 7 I a E g j c x h r Z N r R R g b x R k Z B H J k n Y I 5 M O + p I 6 n N I S R h V l j 0 y O v r I a P g j c x i B Z N o x S A Z R S E b B I Z k n I J F M O x Z J 6 n N I S R h V l k g y O i b J a K g k c x i X Z N q R S Q a x S U Z B J 5 k n 4 J N M O 0 J J 6 n N I S R h V l l M y O l L J a F g l c x i t Z N r x S g Y R S 6 A g l u A J i C V o R y x J f Q 4 p C c c t s N Q S 6 K g l 0 F B L c B i 1 B O 2 o J Y O 4 J V B w S / A E 3 B K 0 4 5 a k P o e U h F F l u S X Q c U u g 4 Z b g M G 4 J 2 n F L g L g l 0 M Q X P U W A U T t u S e p z S E k Y V T 7 I S B l l p A o z O o x b g n b c E i B u C R T c E j w B t w Q t Q 4 0 a x x o R b g l Y b g l 0 3 B J o u C U 4 j F u C l h F H i F s C B b c E T 8 A t Q T t u S e p z S E k Y V Z Z b A h 2 3 B B p u C Q 7 j l q A d t w S I W w I F t w R P w C 1 B O 2 5 J 6 n N I S R h V l l s C H b c E G m 4 J D u O W o B 2 3 B I h b A g W 3 B E / A L U E 7 b k n q c 0 h J G F W W W w I d t w Q a b g k O 4 5 a g H b c E i F s C B b c E T 8 A t Q T t u S e p z S E k Y V Z Z b A h 2 3 B B p u C Q 7 j l q A d t w S I W w I F t w R P w C 1 B O 2 5 J 6 n N I S R h V l l s C H b c E G m 4 J D u O W o B 2 3 B I h b A g W 3 B E / A L U E 7 b k n q c 0 h J G F W W W w I d t w Q a b g k O 4 5 a g H b c E i F u K F d x S / A T c U t y O W 5 L 6 H F I S 3 k b B c k u x j l u K N d x S f B i 3 F L f j l j b 9 L N q 9 6 d + r 8 X J 1 + p V F a X V c / n m d T / L b 1 f H v P z v 0 6 d s T 5 w j Q U Y y O E n S U o q M M H f X R 0 Q A d D d G R 6 e F D 2 5 r I P c b t M b h B J i H S u E 0 G N 8 r g V h n c L I P b B T 1 8 a y B q w u 0 C 3 C 7 A m g L c L M D N A t w s w M 0 C 3 C w 7 r j 5 v o P 2 l y O x V Y v 3 s W c 1 o a s r v V A X b y n H 6 5 z g 6 f B z 9 U w y j q / p h 1 J R Q q o p O l 0 v f n 8 P o D z K M z q t h V J s 1 F 1 X l w l l z Q w O w T P a 3 e c F J C V J 1 2 f t B b k B N w 7 d t u H L a Q J O v l j v V N y N f z p 3 r l 3 T Z l x J 0 m z e d f 9 Q 2 r 1 T R x t b y q z a N q / z Q j 4 v 5 u 3 E + K d s 2 u c + n e T 4 r c y O / K S U / 5 X f L 1 a J M + e 6 c L d L o T k b L 5 T a P 8 u 7 s a J / 3 V v w h u s t X o / F k i Q W W 7 + e f y j N V U u i I P t g / j e 5 z s U k z 6 1 2 3 + 8 G V / m 6 b u N Z / D P c L u d b J W E 4 v v 9 5 k u y 8 P X u 2 z z O 6 P N 4 l k y x M v t x l g y 6 N v N 5 l j 6 b V V l t b y 7 N + e T 2 0 7 R n e L K h s 0 5 B E 5 8 + L v 2 / T X + e I o M K D w l M N D i h t / + 3 H 0 Z j + A X E z L Q T y + W + f V S N p W 2 6 x G / L b S Z n E k Z N 8 U 8 4 4 5 N a P x z X 4 B 4 X Y g 3 Q 7 X I 6 X V S B P h d r F 0 O 1 y J l p Y u z Y T b J d L t c C 1 U W u d 0 I N w u l W 6 H K y V 7 B c l 7 w v 0 y 6 X 6 k z D w F w 0 h o 9 K U b k o L g X t F 3 C Y + B d E N S h N 2 r Y C 4 h M p R u S A r f U 0 i M h I m r X D K g c S l a v 7 q 0 B I u R 5 w g p K O 3 N E g k Y I 8 4 T W s b b q 9 s r Q W P E u W J I 2 W a / 0 K 9 0 S 3 G + G F I 8 2 K s M L M I j z h l a X p z C E 4 v w i N P G 4 H k T U 3 h i E R 5 x 4 h g 8 c 2 I K T y z C I 0 4 d U v Y 8 p v D E I j z i 5 D F 4 9 s Q U n l i C B 8 T Z 4 8 W P 4 D g L u n M J 7 9 u i m 9 X w R j 0 a R Y Z j 6 G j k I I 6 b p N G i O F a W R g j j + G g a F Y 5 j 4 u l O A L w P g u 7 + w H t f 6 I 4 f v N + J 6 A q p i m g K K Y r o C a m J a A k p i e g I q Y h o C C m I 6 A e p h 3 7 L R o O B 9 B 5 1 H g 9 M O s k T a Z K D u A Y D v m V C J 3 k i m i q y r Y L X 4 M S z V q R J D u I a D H g N T u g k T 6 R J D u I a D H g N T u g k T 8 R J L q 7 B g N f g h M K T i v C I a z D g N T i l 8 K Q i P O I a D H g N T i k 8 q Q i P u A Y D X o N T C k 8 q w i O u w Y D X 4 J T C k 0 r w x O I a H O M 1 l 8 Z + 4 R g p G k O E p y i d v z h m g 8 Y 0 4 G / / 9 N s 4 / o Z M v 7 H i b 5 H 0 W x 3 + p k W / + e C 4 W x q X i h b O m K y q 9 r g 2 B V 0 s h P D w P t v J v j I R j R V l 8 t O 2 z z 4 X P d / e U 5 N 9 T u 5 c 0 0 i W G F X b p I G T T H b d z r s o B E 3 K L W 4 a 1 h G j e q E 0 i p D J D f z 2 y 0 4 7 u I s f V P a v a Y B D j M q d 0 n g 6 J q 1 x x / 1 L G v a v 6 a f + G F V r p Z F l T E b m j v u X N u x f 0 4 / e M S o 2 S 2 O s m G T S H f c v a 9 i / p p 9 / Y 1 Q r l 0 Y b M X m w O + 5 f v 1 n / k q Z B 9 j E q 9 U v j b p g U 3 h 3 3 T 4 i 4 k T v Y 9 H t k g i o V 0 x A U J v 1 4 x x 0 U g k / k 9 j b 9 U p b g 9 z w N x + B y p 3 f c R S l / j N z k p o H I C a q 7 7 S V V 4 T K / d 9 3 H p s Z M 0 j g x I D J m v B Q j X N 7 6 r v v Y 1 J p J m l o z C b J m v I Q b X N b 9 r v s o b I i Q m 9 z U o k m Q R e O l n + B q B n T d R 2 F 7 g N z k p l Z N g q w a L x k D V / G g 6 z 4 K w f J y k 5 t a N g m y b L z U B F y 9 h q 7 7 K I S O y 0 1 u a t 0 k y L r x N u p z 1 S a 6 7 q M Q S C 0 n 3 W x q 4 S T I w v G 2 r X O 1 M r r u Y 1 M j J 2 1 q 5 K T I y P E 2 c X O V P r r u Y 1 M 7 J 2 1 q 5 6 T I z v G 2 N H N 1 S j r u o 7 S d W W 5 y U z s n R X a O t 8 G X q 7 L S d R + b 2 j l p U z s n x a R N P W v T u Z 0 j b X W V m 9 w 4 M z C y c 7 z N n 1 y F m 6 7 7 2 N T O S Z v a O S m y c 7 y t k F x 9 n q 7 7 2 N T O S Z v a O S m y c 7 y N g V x 1 o a 7 7 2 N T O S Z v a O S m y c 7 x t c l x t p K 7 7 2 N T O S Z v a O S m y c 7 x N Y 1 x l p 6 7 7 2 N T O y Z r a O S m y c 7 w t V F x d q q 7 7 2 N T O y Z r a O R m y c 7 w N R V x V r a 7 7 2 N T O y Z r a O R m y c 7 z t N V x N s K 4 5 / 3 Z b a 6 S N J y H V 2 J 5 e o M / u u 6 7 u j N n A j h l H 5 j + + t M b Q R u r i x T U v V O y q i X d C 5 7 y Q l U l 2 M l e i T F o n U z x s 2 + 6 v f / j x 9 X Y L z 8 X V T 0 d K h b b L J 1 J 9 V 7 x A k Q 6 e W k O J M x y Z e r W C R q 2 g U C s o 1 A q d q L V d Q o 8 q F u s C B Z d 4 a g 1 l r n B k 6 t U a a 9 S 6 E Q r r N V b o N e 5 E r + 1 S a s R k F U g 4 v Y Z y R z g y 9 X p N N H p N F M M 1 U a g 1 6 U S t L Q v q x F i t K a f W U P I G R 6 Z e r a l G r a l C r a l C r W k n a m 2 X V K L 6 H n + B w t Y 8 t Y a y J z g y 9 W r N N G r N F G r N F G r N O l F r u 6 w O V R j A B Y o U 9 N Q a S l / g y N S r t a 9 R a 1 + h 1 r 5 C r f 1 O 1 N o u r U I V f X C B g j M 9 t Y b y B z g y 9 W o d a N Q 6 U K h 1 o F D r o B O 1 t s t r U A U 9 X K B 4 W E + t o Q 3 8 j k y 9 W o c a t Q 4 V a h 0 q 1 D r s R K 3 t E g t U s R Y X O A j Z d w h C e + h d I Y V L 0 F P 5 B D 2 N U 9 D T e A W 9 L r Q r x X j U g 4 K 1 y 7 t b K n 9 L 5 3 D p P C 6 V y 6 X y u T p x u q Q A k 3 p Q s H Z Z r y t Y C 8 M V U m h X 5 X g Z j e d l N K 6 X 6 c T 3 k q J b 6 k H B 2 m W d r 2 B N C l d I o V 2 V / 1 U 9 s E 6 7 G g f M d O K B S X E 1 9 a B g 7 b I u W L A 2 h C u k 0 K 7 K C z M a N 8 x o / D D T i S M m R f T U g 4 K 1 y 3 p i w R o N r p B C u y p n z G i 8 M a N x x 0 w n / p g U S 1 Q P C t Y u 6 5 A F a y W 4 Q g r t q n w y o 3 H K j M Y r M 5 2 4 Z V I U U z 0 o W L u s X x a s W e A K K b S r c s 2 M x j c z G u f M d O K d S f F T 9 a B g 7 b L u W b B 2 g C u k 0 K 7 K Q z M a F 8 1 o f D T T i Z M m R W 7 V g 4 K 1 y 3 p p w R z + r p B C u y p H z W g 8 N a N x 1 U w n v p o U M 1 Y P C v 7 I w P p q w V z 6 r p D i O 4 P K V w O N r w Y a X w 0 6 8 d W k a L V 6 U L B 2 W V 8 t m N P e F V J o V + W r g c Z X A 4 2 v B p 3 4 a l K c X D 0 o W L v 8 F z L V J z L d N z L d R z L V V z L V Z 7 J O f D U p Q q 8 e F K x d 1 l c L 5 n h 3 h R T a V f l q o P H V Q O O r Q S e + m h Q b W A 8 K 1 i 7 r q w V z r b t C C u 2 q f D X Q + G q g 8 d W g E 1 9 N i k q s B w V r l / X V g j n P X S G F d l W + G m h 8 N d D 4 a t C J r y b F Q 9 a D g r X L + m r B 3 O O u k E K 7 K l 8 N N L 4 a a H w 1 6 M R X k y I x 6 0 H B 2 m V 9 t W A O c F d I o V 2 V r w Y a X w 0 0 v h p 0 4 q t J M a D 1 o G D t s r 5 a M B e 3 K 6 T Q r s p X A 4 2 v B h p f D T r x 1 a T o 0 3 p Q s H Z Z X y 2 Y E 9 s V U m h X 5 a u B x l c D j a 8 G n f h q U t x r P S g 4 c o n 1 1 Y K 5 q V 0 h R f C S y l e L N b 5 a r P H V Y p 2 v J g Y i R i 3 9 i N J L u 9 6 k E N 3 q V M x T 6 1 A R b 0 + c I 0 B H M T p K 0 F G K j j J 0 1 E d H A 3 Q 0 R E d l n l r 3 O 2 C R e d b 9 c o V / x g 2 q 8 t S 6 b D b + G T f K 4 F Y Z 3 C y D 2 w W 4 X U C 0 h J s F u F m A F Q W 4 V Y B b B b h V g F s F u F U 0 T 2 0 x 4 n d p a u U R 1 T T q t 8 r W c j W f 3 U d v 5 p N P o + U y n + V / D q k / x p A q l q j 6 I d V 0 M 1 m V w P R q 3 W Z 5 + u L P w f T P O p h e X G k G U 9 N d e 1 X 6 2 v N d G u o / l 6 Y / y G h y k r J z S c Z Q K n S c G D o 0 + M o E 0 R e 7 N O M 3 m 6 z b s 3 z G 5 B l n E o v t z i 5 v 3 4 8 f V l F e 5 D G f 5 + / y 2 d 3 2 t 8 v c y w 3 N p O 9 i h Y E V j n n h m B V O e O G E F U 5 5 4 Z Q V z n j h j B X u 8 8 J 9 V n j A C w 9 Y 4 S E v P O Q B 6 w m o 9 H h x I 4 j z K B o B R s P j a A Q g D Y + k E a A 0 P J Z G A N P w a B o B T s P j a Q R A D Y + o E S A 1 P K Z G A N X w q I K A K v C o g o A q C H N T m p w 8 q i C g C j y q I K A K P K o g o A o 8 q i C g C j y q I K A K P K o g o A o 8 q i C g C j y q s Y B q j H N M u A c o a w H a 3 o / 2 w a M N 4 2 h n N d q C j P b q 4 u Q d u A k 4 8 R V O E Y W T K e G 0 Q z h B D 0 5 l g 5 O + 4 P Q o e I M t 3 o q K 9 Y H T O O C E B z g 1 A N 5 E j 7 e b 4 4 3 Z e A s z a g v d 8 U e / w B H 6 B x 8 S U p 6 w y I T 2 J D w d I Z Z o h D F t F o 3 i p H G H N F K O x n b R a C Q a P 0 M j P m g 8 O f 2 q T r 8 D U 7 3 R b 2 3 0 6 x D 9 n k E Z e M o Z U 5 a T x l C Q 9 l W w l m b U d D S y V s 6 d n a X R 8 a 5 i x / M X l 8 8 K i c v x 8 n Y y G k / z R X k 0 t 9 Z T v i g m r T W 9 C l P q / X z + 7 u 5 h v n h c l u f n 9 1 F u 7 S U o + K z i 3 D T P y 2 o h 3 x e z v J S 9 t W b e a H Z n b b P y h t t l Y F r W V H F q m K B f P 2 5 K s 6 C T W 8 N O u m i 6 r Z 8 i C Z R N X G 7 K p J Q L 0 5 u X L 6 + f R Q 7 r V p 6 6 e h Z t P d 1 o d V a 8 E K M P o 9 H C + X l j a p Y 3 3 F 9 X l L r Z 1 9 Y p r z T o y n P h y n O / E e f h R p z X P e v a v + V 1 + J b X w V v u l L i F e o f y e G a V v b 5 d 5 W s 7 n v b D 4 9 l O 4 G 6 8 G N / n s x X / 6 2 o 0 v Z n b 8 T c d j V e L n J c p a g w V g 8 9 9 9 n 9 b L c 4 f I 3 t N U S V n N F l G x 9 u f y w v f z B f V h a t P + X 6 4 L R 6 s M B Y s b r Q e r x 7 m 0 8 p h u M v / j U h 8 t 7 v Y i L 8 A + e V l O R 1 u 8 u V q N F o V 9 4 9 O T 0 + j Y i b O 8 m l R w Q a L + 5 r 0 f 9 7 q k f m J K h F J H H 9 3 v h + y u 0 l i W 4 C 9 I 0 e W c Z D K 8 / 5 U i 7 h f R 1 b r 8 + 3 C E x 3 b N c H + Z Z v 1 k K 9 / s 8 + d z u 9 L D n w D 0 6 4 K S 7 n C u U V O q q 1 R T J M g 2 C Q g 9 / U K 0 G z S 7 P v 3 j Y P 3 x T n s T R X p j u 4 b C / d N g v d N y H 2 9 6 j G b 7 P j + f d P g f V N y 3 4 F 3 3 6 F w 3 y x 4 X 6 k 1 / e B V p O Z O 9 f 3 e b U 2 a C v c d B O 8 7 E K 4 a B q + S e m 5 6 4 d E u j R x T M 0 u M d F 1 4 K L s / c 3 6 n e J 0 0 E k 1 4 K L o / c 5 6 o e J 2 E n Q k P J S O N J R M e T E Z a G U x 4 s B h p t J j w c D H S e I H w e A F p v E B 4 v I A 0 X q B m 6 Z P G C 4 T H C 0 j j B c L j B a T x A u H x A t J 4 g f B 4 A W m 8 Q H i 8 g P g m C Y 8 X k M Y L h M c L S O M l D o + X G B f p A r 9 Y 1 U Y D r 7 6 x N x h V r / S y R t / G o I w m T v E + h v 0 s r 7 v b P n h / J a l 3 B 1 6 x K N h U i x J v Q A t 3 e T W x N l W X x B u Q M l 1 e 2 R l I S N U t 7 0 U J S R Z + B L 2 B 1 8 Z k Q C S 8 K m k p Q c i r 6 A J p j a I q L 3 0 P 0 + 5 w U 5 6 x O N 7 W Y y w t y W 2 l R n J d d c 9 o Z r 2 Z a L 6 2 B l Z k n a y t T X 9 a 2 u w o Q 1 N 5 Z l z Y 4 V a 0 c N p 2 w 6 5 q 1 3 3 + Y b 0 o T L W o q E A 5 X x R m 9 a p 0 o p a 2 H 1 Z 6 s f Q q c m 7 V k F I 9 Z V h N G d V S 5 h B v P u 3 + S 4 Y H Q 0 a N h S w N X 4 6 r 7 m Q U 5 2 w Q v h z X r u n 3 y O X 9 4 D e D X / p 4 K v T p Q O 4 n 4 c u x 3 d a n Z n G / H 7 4 c D + E + R W b Q C 1 4 + w A v B g B q 5 g z h 8 O Z 5 i A z p F B 1 n 4 c m w l D q j J O h g G L x / i U T e k o 2 4 Y H n V D P O q G d N Q N w 6 N u i E f d k I 6 6 Y X j U D U n N x x 4 d d q Y X H n e m R z y f n l f Y s h c e e q Z H f I a e 5 5 P 1 w q P P 9 E g p z J 7 n f Z n w A D S k q q Q x n p 9 l w m P Q k P K M x q / H a c L D 0 J A 6 h 8 Z 4 v p M J j 0 Q D p N y m V x z T Q H g w G l I z z Y D n M U F 4 P B p S f M x 4 d S o N h I e k I V W 8 T O y N y b h m T M b U G / f G Z F w z J u O a X s Y 1 f U h q W p j U P D + h n q u n g 5 S M 2 N Q b s S n B M v X m V U q f 4 s 0 b 8 k o 1 m f c U 8 t Y 0 m V + H l j O v t X S N b R R n L e s v z w 4 h i + z l n C / S 4 H K i 4 c y b 0 x l n 1 O s f 0 C c A 9 b 0 p 3 + e 8 t w Y P I P j 2 v R W h z 7 l d D R 5 A F o y + t 2 D 0 D x s B f b K e D L y 5 N D h s j A z I c j P w l p v B Y a N o Q N 6 Q A 2 8 m D z h X t M E D y A t 0 4 C 0 E Q 8 6 H 1 D 9 g S F a r o b e O D D m y o M E D y O t 3 6 C 1 D w 8 O W o S G Z y U N v J g 8 P m s n Q I 0 5 e z 3 P y e g f N Z O g R Z 7 d H Z z L 0 D p r J 0 M v I A z x X t 3 f Q T I Y e n s l g 6 E w G l h L V P 4 B W A v e q t A P L Z T Z 4 A K m 4 b e h M B p a E b P A A Q i b 4 J d d Z 9 l D / A F L 7 F 4 D O Z G B p v w Y P O E z D p F I t A J 2 n w N J o + g e w b F q D y 8 k s j L 1 Z G B 8 2 C + O D 1 j m I y R x L v D m W H D b H E j L H v F r C k B L K z C s N D C l Z a b x K v 5 C S e e C Z t k B M W / D o I s h I S z O v p R l p q W f 8 A m G F w K O F I C M t z b y W E h s P P B s P r I 2 3 r b z 7 / a g M c L V w P G y j X e / z T + M P v 4 3 v 7 6 K B G + x a 4 L Y P d u V j Y 0 + i 3 3 8 / + j 7 P p 6 t o X R K L 5 U f v I k z i f r Q a V 2 E X l 9 u j o 8 9 F V O w b C / t s f D + e 3 S 9 n 6 + k m p s O e P J 0 t T o 8 + b 5 v 5 U 7 k r K R o v i + d 9 L C J E Z m 7 b H i e j 2 / z N a L L O j 2 u 7 Z G 9 / N S r + / Y f 9 Z 3 P p Y n u P 1 / k / V k W r 9 o 0 8 2 X 5 B r x j I L d t Y U I 2 F D 3 a X v x t P / v d / q o 5 h I n V W 9 M m J 5 H C 4 9 M V D c X K 1 t I g s j w J 9 j I Z i L z m N 2 I d Y 5 R f / + 7 / t W r u + p U 3 6 V n 0 N v S o e X / x x s v 2 L 9 r K 8 R d H N n / L J A 6 G P / 7 p r T j l 6 o + X j Z L w q P k j M H y P b m 3 x 8 V 3 T L C r u D 6 7 o Q 2 u 0 X 4 P t h G 8 Q + 7 i Q q r 7 a a q G 5 T Q H D x q w V g P B 3 b k 8 d H J 0 f P i r Z + N / p w u o u E i Q q K u / j / z f h D i U W J U y F R 9 t n / O a R j I + q 4 X g U n a K 9 f c L r U d C D U Q m g 0 C s q l L N q A X 9 + k F h r L G r U H 0 K j s Q E W h x U t e j f m O l K v x J n 5 s E 1 p T B a 2 N 8 2 p U V Q F A y y 3 I n 1 U v h V h u R r D x u 9 Z c M a 2 J n C 9 8 u / i v 7 b n y P V F z J T B X w v 7 K 8 5 p n O k F l 3 l M D 1 w J 7 7 f 6 5 5 5 L m z 2 8 X 8 x u 7 C N s 5 5 + h / e x X X T 3 r V h z W 9 i m s n v W q 0 3 9 C 0 u e 6 F v e z C j k U 7 4 + + 2 X 2 v n j / f F 3 p X y 7 e 7 e 6 Y d H e j Y a z + 7 C r 2 k 8 X v Q v 6 l j 7 o t 6 8 e P Y x e c H p n T S a 3 r H 2 l S o 3 I t j J p N m U T j a T 6 C I E m b O 3 y M X M P a 2 b 6 G m 7 i b 5 t 5 W Y s 3 i / m + W M + O 4 l W + W i 6 P L G G x T K f 2 n t W J s Z 6 / q / l y P q m X u r z Z 7 o t a 1 m 0 Y r P H a t / W r + b T m / F M 2 9 j i 5 f 3 7 0 S 4 E u V o N c C Q 5 D i T H c e Q 4 j B x H k e M g c h x D j k P I S Q S 5 G 0 B u Z + m m Q 4 t t z x g r 4 i T 6 z / V 8 l V + v f r U K + H 4 + y 5 / t b 1 O E K I c 0 5 9 o I n u 5 4 X R c q u 8 5 v r Q 2 5 d + J M Z S / g k 8 C d j L m T C X c y 5 U 5 m 3 M k + d 3 L A n R x y J y u 9 e 2 c P U n 9 1 t 2 V Y 9 9 B U 9 + U A / X 2 3 E 2 J 5 O 1 r l 9 / M F Q S L 4 O 9 q s w Q n E d Q J J n U B a J 5 D V C f T r B A Z 1 A s M 6 A b y 7 h p U 4 a A D 4 d z 7 S L L u Z w u k m Y 6 h 6 K 5 Q M i / x e 2 E d V l 3 z M e e B 3 3 f u h 3 / L 9 s D V M y + g j u b 1 S y J j b e l e m M m i + K z e O r K P N p p G q D a P Z 3 L 5 a H k a 2 c 7 M H 6 + n M 3 0 U 3 6 4 k F + W b 9 U B n C h U S U r 2 5 P q 7 u 8 L A P t 8 0 X 0 W L 6 F 7 Z + z M 3 v R w z w v n a V p Z R H 8 n f s x b A z 1 2 x l D f Z 0 x 5 H R D b l 6 g d Y N G x l F f Z x w 1 a d S b + e S + i O p S O E C F 2 C J s L g 3 K p d K N L d v y S i f b T R s 7 8 g k z U x 0 y I 4 f 5 9 r 6 T x j l I n O v D O z W 8 u y I 5 J J L L I T s V A S d h e 9 H p 7 v 7 F + f F H 9 5 f t E / x f 9 s 9 w f u P s b p 0 x W b c C C o Y z o U T 8 9 D V u + h G c P U K k y E 6 i r a n s L H J W r e s V 9 / M m A J P 7 / f 0 m I J P 7 7 W E b o I l + Z J d R e / 7 1 f D W y p z d L c h k g W m 4 I K o k u O 9 G K 2 e k G 9 k b H 5 U 6 s t A z r f E Y W V H H S l w + y I 8 T 2 y k 6 a s / m j f c T D e E t k v p j 9 Z g e Q P X z + 4 n J / X A Y o l 9 q 0 7 9 T o x 0 d 7 n N / t p / N m D x Y e D s w u L L K B K 7 Q P i 4 i y O 7 G I D N q L J f 4 G 3 m / 1 + 7 H I B T / Z R b A M l d 2 + 7 b Y b J 4 u + T P N b O y K K C b r t 0 l 8 d 5 2 K y H c 2 V k c q b K y o z Y C i b A X X L e W U H 1 M x D l a H y r U W 9 f M D q 1 8 f y L b B v n + P e v L a z c f n O g l 0 1 8 b W V r b V W h h t v V l 6 G X s x W W X J a 3 G x j O 5 D 1 m v z O r N 5 h C f A l 2 J W 9 T o a 7 D 7 / q B 6 S c d 0 B A C r 0 R i J z 8 f u B u y L 0 t e D n / 3 U H k V K 8 F e u / g 2 B R 6 h t 8 Y R O h a H h j e 2 0 Q Y F y G s x S 4 I L 5 e A M P O q 4 a W 5 F w 8 v y b 6 G i K j w U i J S g V c U k V S 9 s N g 5 r F + J n c u 3 K 9 I 3 + b L Y U V O s t d F i / A F 9 U r I / H N e s W e W i g 9 9 5 P x Q W 7 + l l v r y t X o z 2 U V 9 8 M Z 7 Z p / H P + / c v v l i + H 9 m 3 X v T y 8 r 8 + f n 9 h n z / J V 6 X 4 x c K + n b + M v l p + P L 2 c 3 6 6 n x Y 7 d r 8 c l C T E r L Z P j o 7 M f l 7 a j Z 6 s P + c 1 N b s 5 e j W 8 W o 8 W v Z 1 9 N 5 u u 7 6 9 V 8 M b r P z 3 6 Y 5 Z e L 8 c f 8 + d f 2 1 V o U 3 s 6 t o r / J C 8 9 q m V 9 v I b 4 f 2 x N 2 L m x P F I 2 7 X p 1 + u 7 7 J F 6 v 1 8 u w b + + P C I v M 8 e v H a P v 7 T + O H B r g v W I n g x s 8 P E i n 8 s j Y I z 6 E F 2 d r v 8 W O F i F 4 / Z 2 d a 2 L / 6 8 / K 8 3 3 1 8 U M q d W p v i u 9 v P O R S 8 y O x V O + u b N Z A + z X n I S / W 1 2 O y 8 U W R y n v Z 5 5 W 0 J X v U 5 G R R / s O 3 R V + A g W 7 H I X y 8 d 8 t N 7 D + P f F f G q d / o 3 s c a F T + 9 D N 2 f P J 5 P p 2 N L E 2 / J e r x T p / W / u e q n 1 L h d p U j h Z v K 0 3 5 j M J C c q h + b 9 t 0 r R B o h G K N U K I R S j V C m U a o r x E a a I S G K m X 2 V F I q n R u V 0 o 1 K 6 0 a l d q P S u 1 E p 3 q g 0 b 1 S q N y r d A 6 N 7 L o l a j Q i j d S 4 p W o 0 I o 2 8 u A V q N C K N p L t l Z j Q i j Y y 6 x W Z 3 q N O p V 6 J c b 1 m y 2 s j o Z h Y q 5 A c 0 m I 6 u T U W i Z G 8 p s r r G 6 8 a f Q M 2 j G s U L P o N A z K P Q M C j 2 D Q s + g 0 D M o 9 A w K P c f S U r 3 j a I o 4 O c 6 p 4 s Q Y v 4 o T i 3 V i i U 4 s 0 4 m l O r G + T m y g E x v q x M p V R S O n x M E o g T B K J I w S C q N U s l F i Z p R o G C U c R o k H c H i w i U V r h T g k 2 E S i t U I c B m z i 0 F o h T v t s o t B a I U 7 v b G L Q e m X q V K 7 S O T v 8 + a S f 9 V I q t b M D n 8 / s W S + l 0 j w 7 5 P n 0 n f V j V K V 7 0 I 1 3 l e 5 B p X t Q 6 R 5 U u g e V 7 k G l e 1 D p H l S 6 j 8 W l v 9 b W Y a R U z h J n 7 z B S K m e J s 3 k Y K Z W z x N k 9 j J T K W e J s H 8 Z X 1 1 k / 7 M j n 5 J S v X X b 0 c 3 L K 1 y 4 7 A z g 5 5 W u X n Q W c n P K 1 y 8 4 E z i 5 k 5 g I m / n Z Y r c b T 6 n f y 9 Q s L f K 5 L h s + n w g 9 Q U y f R 0 c T J g 7 s r p f M v g t l c l r C p a t N 8 v 5 7 e F D E B 8 / X s 7 n L + a X Z 8 u S 6 I w v n s 9 H L 0 6 / L 4 Z 0 x a v X 2 + u y f x 3 d 8 + O 4 u z 9 F l V 5 K a n K x / U M O V / 0 c 0 3 K K f s r q O 7 3 p f V g M x g U 3 f H N t Q t B + R I i Y W F H J m i g o / Z 3 2 l b M q j 4 + 6 q 2 h E + 7 C j 4 u k l C P J D h I f t E N k t A K S a G 3 A e 0 g L I H D E l R Y h o q i O j I H Y d m u 7 q h x w Y z r w Y y 7 B z N u B W b T U k G A w Y w 5 M G M V m K E a r I 5 M H Z i B t r Y r c g o u l E k 9 l E n 3 U C a t o G x a o i f G U C Y c l I k K y l D B V 0 f m A C j b V V S N X S j T e i j T 7 q F M W 0 H Z t E B O g q F M O S h T F Z S h 6 r K O z A F Q t i v f m r h Q Z v V Q Z t 1 D m b W C U u h u Q D 0 I y o y D M l N B G S p l 6 8 g c A G X L W r E u l P 1 6 K P v d Q 9 l v B a X Q 3 Y B 6 E J R 9 D s q + C s p Q 3 V x H 5 g A o 2 x W m z V w o B / V Q D r q H c t A K S q G 7 A f U g K A c c l A M V l K E i v Y 7 M A V C 2 q 4 L b d 6 E c 1 k M 5 7 B 7 K Y S s o h e 4 G 1 I O g H H J Q D l V Q h i o C O z I H Q N m u 5 O 4 A c Q S 9 e i y t T O d g F v d s g a b Q 4 4 C G M F H Q 4 + A 0 P R 1 V E C p C 7 A o d g K h t Y B t I h w h S D e 9 j n g D S d s y P 1 O W Q j j C o P P 2 j 5 H 9 U B J C C A Q o 1 u B 0 B V P V z 1 w Y F B 2 S e g A Q y L V m g x j Q Q 4 Y E M S w Q Z H R N k N F S Q U X B B o Q a 3 p I I Q F 2 Q U Z J B 5 A j b I t K O D p D 6 H l I R R Z R k h o 6 O E j I Y T M o e R Q q Y d K 2 Q Q L W Q U v J B 5 A m L I t G O G p D 6 H l I R R Z c k h o 2 O H j I Y e M o f x Q 6 Y d Q W Q Q Q 2 Q U F J F 5 A o 7 I t C O J p D 6 H l I R R Z X k i o y O K j I Y p M o d R R a Y d V 2 Q Q W W Q U b J F 5 A r r I t O O L p D 6 H l I R R Z S k j o + O M j I Y 0 M o e x R q Y d b W Q Q b 2 Q U x J F 5 A u b I t K O O p D 6 H l I R R Z d k j o 6 O P j I Y / M o c R S K Y d g 2 Q Q h W Q U H J J 5 A h L J t G O R p D 6 H l I R R Z Y k k o 2 O S j I Z K M o d x S a Y d m W Q Q m 2 Q U d J J 5 A j 7 J t C O U p D 6 H l I R R Z T k l o y O V j I Z V M o f R S q Y d r 2 Q Q s Q Q K Y g m e g F i C d s S S 1 O e Q k n D c A k s t g Y 5 a A g 2 1 B I d R S 9 C O W j K I W w I F t w R P w C 1 B O 2 5 J 6 n N I S R h V l l s C H b c E G m 4 J D u O W o B 2 3 B I h b A k 1 8 0 V M E G L X j l q Q + h 5 S E U e W D j J R R R q o w o 8 O 4 J W j H L Q H i l k D B L c E T c E v Q M t S o c a w R 4 Z a A 5 Z Z A x y 2 B h l u C w 7 g l a B l x h L g l U H B L 8 A T c E r T j l q Q + h 5 S E U W W 5 J d B x S 6 D h l u A w b g n a c U u A u C V Q c E v w B N w S t O O W p D 6 H l I R R Z b k l 0 H F L o O G W 4 D B u C d p x S 4 C 4 J V B w S / A E 3 B K 0 4 5 a k P o e U h F F l u S X Q c U u g 4 Z b g M G 4 J 2 n F L g L g l U H B L 8 A T c E r T j l q Q + h 5 S E U W W 5 J d B x S 6 D h l u A w b g n a c U u A u C V Q c E v w B N w S t O O W p D 6 H l I R R Z b k l 0 H F L o O G W 4 D B u C d p x S 4 C 4 J V B w S / A E 3 B K 0 4 5 a k P o e U h F F l u S X Q c U u g 4 Z b g M G 4 J 2 n F L g L i l W M E t x U / A L c X t u C W p z y E l 4 W 0 U L L c U 6 7 i l W M M t x Y d x S 3 E 7 b m n T z 6 L d m / 6 9 G i 9 X p 1 9 Z l F b H 5 Z / X + S S / X R 3 / / r N D n 7 4 9 c Y 4 A H c X o K E F H K T r K 0 F E f H Q 3 Q 0 R A d m R 4 + t K 2 J 3 G P c H o M b Z B I i j d t k c K M M b p X B z T K 4 X d D D t w a i J t w u w O 0 C r C n A z Q L c L M D N A t w s w M 2 y 4 + r z B t p f i s x e J d b P n t W M p q b 8 T l W 3 r R y n f 4 6 j w 8 f R P 8 U w u q o f R k 0 J p a r 2 d L n 0 / T m M / i D D 6 L w a R r W Z c 1 F x L p w 5 N z Q A y 2 R / m x e c l C R V l 8 E f 5 A b U N H z b h i u n D T Q B a 7 l T f T P y 5 f y 5 f l m X f U V B t 3 n T + U d t 8 0 o V b W w t v 3 L T u M o R / b i Y v x v n k 7 J t k / t 8 m u e z M j / y m 1 L y U 3 6 3 X C 3 K t O / O 2 S K V 7 m S 0 X G 5 z K e / O j v a 5 b 8 U f o r t 8 N R p P l l h g + X 7 + q T x T J Y a O 6 I P 9 0 + g + F 5 t U s 9 5 1 u x 9 c 6 e + 2 y W v 9 x 3 C / k G u d r O X 0 8 u t N x v v y 4 N U + 0 + z + e J N M t j z x c p s F t j z 6 d p M 9 l l 5 b Z W o t z / 7 t + d S 2 Y 3 S 3 q D J C Q x 6 R M y / + v k 2 B n S + O A g M K T z k 8 p L j x t x 9 H b / Y D y M W 0 H M T j u 3 V e j a R t 0 c 1 q x G 8 L b h Z H Q v Z N M e + Y U z o a 3 + w X E G 4 H 0 u 1 w W V J a l D Q R b h d L t 8 M F a W k F 0 0 y 4 X S L d D p d E p e V O B 8 L t U u l 2 u G C y V 5 e 8 J 9 w v k + 5 H q s 1 T M I y E R l + 6 I a k L 7 t V + l / A Y S D c k t d i 9 Q u Y S I k P p h r i i r 6 G Q G A k T V 7 l k Q O O K t H 6 R a Q k W I 8 8 R U l f a m y U S M E a c J 7 S a t 1 e + V 4 L G i H P F k O r N f r 1 f 6 Z b i f D G k h r B X I F i E R 5 w z t M o 4 h S c W 4 R G n j c H z J q b w x C I 8 4 s Q x e O b E F J 5 Y h E e c O q T 6 e U z h i U V 4 x M l j 8 O y J K T y x B A + I s 8 e L H 8 F x F n T n E t 6 3 R T e r 4 Y 1 6 N I o M x 9 D R y E E c N 0 m j R X G s L I 0 Q x v H R N C o c x 8 T T n Q B 4 H w T d / Y H 3 v t A d P 3 i / E 9 E V U h X R F F I U 0 R N S E 9 E S U h L R E V I R 0 R B S E N E P U g / 9 l o 0 G A + k 9 6 j w e m H S S J 9 I k B 3 E N B n z L h E 7 y R D R V Z F s F r 8 G J Z 6 1 I k x z E N R j w G p z Q S Z 5 I k x z E N R j w G p z Q S Z 6 I k 1 x c g w G v w Q m F J x X h E d d g w G t w S u F J R X j E N R j w G p x S e F I R H n E N B r w G p x S e V I R H X I M B r 8 E p h S e V 4 I n F N T j G a y 6 N / c I x U j S G C E 9 R O n 9 x z A a N a c D f / u m 3 c f w N m X 5 j x d 8 i 6 b c 6 / E 2 L f v P B c b c 0 L h U t n D F Z V e 1 x b Q q 6 W A j h 4 X 2 2 k 3 1 1 I h o r y u S n b Z 9 9 L n q + v a c m + 5 z c u a a R L D G q u E k D J 5 n s u p 1 3 U Q i a l F v c N K w j R j V D a R Q h k x v 4 7 Z e d d n A X P 6 j s X 9 M A h x i V P K X x d E x a 4 4 7 7 l z T s X 9 N P / T G q 2 E o j y 5 i M z B 3 3 L 2 3 Y v 6 Y f v W N U c J b G W D H J p D v u X 9 a w f 0 0 / / 8 a o X i 6 N N m L y Y H f c v 3 6 z / i V N g + x j V O 6 X x t 0 w K b w 7 7 p 8 Q c S N 3 s O n 3 y A R V K 6 Y h K E z 6 8 Y 4 7 K A S f y O 1 t + q U s w e 9 5 G o 7 B 5 U 7 v u I t S / h i 5 y U 0 D k R N U e 9 t L q s J l f u + 6 j 0 2 N m a R x Y k B k z H g p R r i 8 9 V 3 3 s a k 1 k z S 1 Z h J k z X g J N 7 i s + 1 3 3 U d g Q I T e 5 q U W T I I v G S z / B 1 Q z o u o / C 9 g C 5 y U 2 t m g R Z N V 4 y B q 7 i Q d d 9 F I L l 5 S Y 3 t W w S Z N l 4 q Q m 4 e g 1 d 9 1 E I H Z e b 3 N S 6 S Z B 1 4 2 3 U 5 6 p N d N 1 H I Z B a T r r Z 1 M J J k I X j b V v n a m V 0 3 c e m R k 7 a 1 M h J k Z H j b e L m K n 1 0 3 c e m d k 7 a 1 M 5 J k Z 3 j b W n m 6 p R 0 3 E d p O 7 P c 5 K Z 2 T o r s H G + D L 1 d l p e s + N r V z 0 q Z 2 T o p J m 3 r W p n M 7 R 9 r q K j e 5 c W Z g Z O d 4 m z + 5 C j d d 9 7 G p n Z M 2 t X N S Z O d 4 W y G 5 + j x d 9 7 G p n Z M 2 t X N S Z O d 4 G w O 5 6 k J d 9 7 G p n Z M 2 t X N S Z O d 4 2 + S 4 2 k h d 9 7 G p n Z M 2 t X N S Z O d 4 m 8 a 4 y k 5 d 9 7 G p n Z M 1 t X N S Z O d 4 W 6 i 4 u l R d 9 7 G p n Z M 1 t X M y Z O d 4 G 4 q 4 q l p d 9 7 G p n Z M 1 t X M y Z O d 4 2 2 u 4 m m B d c / 7 t t t Z I G 0 9 C q r E 9 v U C f 3 X d d 3 R m z g R 0 z j s x / f G m N o Y 3 U x Y t r X q j Y V R P v h M 5 5 I S u T 7 G S u R J m 0 T q Z 4 2 L b d X / / w 4 + v t F p 6 L q 5 + O l A p t l 0 + k + q 5 4 g S I d P L W G E m c 4 M v V q B Y 1 a Q a F W U K g V O l F r u 4 Q e V S z W B Q o u 8 d Q a y l z h y N S r N d a o d S M U 1 m u s 0 G v c i V 7 b p d S I y S q Q c H o N 5 Y 5 w Z O r 1 m m j 0 m i i G a 6 J Q a 9 K J W l s W 1 I m x W l N O r a H k D Y 5 M v V p T j V p T h V p T h V r T T t T a L q l E 9 T 3 + A o W t e W o N Z U 9 w Z O r V m m n U m i n U m i n U m n W i 1 n Z Z H a o w g A s U K e i p N Z S + w J G p V 2 t f o 9 a + Q q 1 9 h V r 7 n a i 1 X V q F K v r g A g V n e m o N 5 Q 9 w Z O r V O t C o d a B Q 6 0 C h 1 k E n a m 2 X 1 6 A K e r h A 8 b C e W k M b + B 2 Z e r U O N W o d K t Q 6 V K h 1 2 I l a 2 y U W q G I t L n A Q s u 8 Q h P b Q u 0 I K l 6 C n 8 g l 6 G q e g p / E K e l 1 o V 4 r x q A c F a 5 d 3 t 1 T + l s 7 h 0 n l c K p d L 5 X N 1 4 n R J A S b 1 o G D t s l 5 X s B a G K 6 T Q r s r x M h r P y 2 h c L 9 O J 7 y V F t 9 S D g r X L O l / B m h S u k E K 7 K v + r e m C d d j U O m O n E A 5 P i a u p B w d p l X b B g b Q h X S K F d l R d m N G 6 Y 0 f h h p h N H T I r o q Q c F a 5 f 1 x I I 1 G l w h h X Z V z p j R e G N G 4 4 6 Z T v w x K Z a o H h S s X d Y h C 9 Z K c I U U 2 l X 5 Z E b j l B m N V 2 Y 6 c c u k K K Z 6 U L B 2 W b 8 s W L P A F V J o V + W a G Y 1 v Z j T O m e n E O 5 P i p + p B w d p l 3 b N g 7 Q B X S K F d l Y d m N C 6 a 0 f h o p h M n T Y r c q g c F a 5 f 1 0 o I 5 / F 0 h h X Z V j p r R e G p G 4 6 q Z T n w 1 K W a s H h T 8 k Y H 1 1 Y K 5 9 F 0 h x X c G l a 8 G G l 8 N N L 4 a d O K r S d F q 9 a B g 7 b K + W j C n v S u k 0 K 7 K V w O N r w Y a X w 0 6 8 d W k O L l 6 U L B 2 + S 9 k q k 9 k u m 9 k u o 9 k q q 9 k q s 9 k n f h q U o R e P S h Y u 6 y v F s z x 7 g o p t K v y 1 U D j q 4 H G V 4 N O f D U p N r A e F K x d 1 l c L 5 l p 3 h R T a V f l q o P H V Q O O r Q S e + m h S V W A 8 K 1 i 7 r q w V z n r t C C u 2 q f D X Q + G q g 8 d W g E 1 9 N i o e s B w V r l / X V g r n H X S G F d l W + G m h 8 N d D 4 a t C J r y Z F Y t a D g r X L + m r B H O C u k E K 7 K l 8 N N L 4 a a H w 1 6 M R X k 2 J A 6 0 H B 2 m V 9 t W A u b l d I o V 2 V r w Y a X w 0 0 v h p 0 4 q t J 0 a f 1 o G D t s r 5 a M C e 2 K 6 T Q r s p X A 4 2 v B h p f D T r x 1 a S 4 1 3 p Q c O Q S 6 6 s F c 1 O 7 Q o r g J Z W v F m t 8 t V j j q 8 U 6 X 0 0 M R I x a + h G l l 3 a 9 S S G 6 1 a m Y p 9 a h I t 6 e O E e A j m J 0 l K C j F B 1 l 6 K i P j g b o a I i O y j y 1 7 n f A I v O s + + U K / 4 w b V O W p d d l s / D N u l M G t M r h Z B r c L c L u A a A k 3 C 3 C z A C s K c K s A t w p w q w C 3 C n C r a J 7 a Y s T v 0 t T K I 6 p p 1 G + V r e V q P r u P 3 s w n n 0 b L Z T 7 L / x x S f 4 w h V S x R 9 U O q 6 W a y K o H p 1 b r N 8 v T F n 4 P p n 3 U w v b j S D K a m u / a q 9 L X n u z T U f y 5 N f 5 D R 5 C R l 5 5 K M o V T o O D F 0 a P C V C a I v d m n G b z Z Z t 2 f 5 j M k z z i Q W 2 5 1 d 3 r 4 f P 6 y i v M h j P s / f 5 b O 7 7 W + X u Z c b m k n f x Q o D K x z z w j E r n P D C C S u c 8 s I p K 5 z x w h k r 3 O e F + 6 z w g B c e s M J D X n j I A 9 Y T U O n x 4 k Y Q 5 1 E 0 A o y G x 9 E I Q B o e S S N A a X g s j Q C m 4 d E 0 A p y G x 9 M I g B o e U S N A a n h M j Q C q 4 V E F A V X g U Q U B V R D m p j Q 5 e V R B Q B V 4 V E F A F X h U Q U A V e F R B Q B V 4 V E F A F X h U Q U A V e F R B Q B V 4 V G M B 1 R j n m H A P U N Y C t L 0 f 7 Y N H G 8 b R z m q 0 B R n t 1 c X J O 3 A T c O I r n C I K J 1 P C a Y d w g h 6 c y g Y n f c H p U f A G W 7 w V F e s D p 3 H A C Q 9 w a g C 8 i R 5 v N 8 c b s / E W Z t Q W u u O P f o E j 9 A 8 + J K Q 8 Y Z E J 7 U l 4 O k I s 0 Q h j 2 i w a x U n j D m m k H I 3 t o t F I N H 6 G R n z Q e H L 6 V Z 1 + B 6 Z 6 o 9 / a 6 N c h + j 2 D M v C U M 6 Y s J 4 2 h I O 2 r Y C 3 N q O l o Z K 2 c O z t L o + N d x Y 7 n L y 6 f F R K X 4 + X t Z D S e 5 o v y a G 6 t p 3 x R T F p r e h W m 1 P v 5 / N 3 d w 3 z x u C z P z + + j 3 N p L U P B Z x b l p n p f V Q r 4 v Z n k p e 2 v N v N H s z t p m 5 Q 2 3 y 8 C 0 r K n i 1 D B B v 3 7 c l G Z B J 7 e G n X T R d F s / R R I o m 7 j c l E k p F 6 Y 3 L 1 9 e P 4 s c 1 q 0 8 d f U s 2 n q 6 0 e q s e C F G H 0 a j h f P z x t Q s b 7 i / r i h 1 s 6 + t U 1 5 p 0 J X n w p X n f i P O w 4 0 4 r 3 v W t X / L 6 / A t r 4 O 3 3 C l x C / U O 5 f H M K n t 9 u 8 r X d j z t h 8 e z n c D d e D G + z 2 c r / t f V a H o z t + N v O h q v F j k v U 9 Q Y K g a f + + z / t l q c P 0 b 2 m q J K z m i y j I 6 3 P 5 c X v p k v q g t X n / L 9 c F s 8 W G E s W N x o P V 4 9 z K e V w 3 C X / x u R + G 5 3 s R F / A f L L y 3 I 6 3 O T L 1 W i 0 K u 4 f n Z 6 e R s V M n O X T o o I N F v c 1 6 f + 8 1 S P z E 1 U i k j j + 7 n w / Z H e T x L Y A e 0 e O L O M g l e f 9 q R Z x v 4 6 s 1 u f b h S c 6 t m u C / c s 2 6 y F f / 2 a f O 5 3 f l x z 4 B q Z d F Z Z y h X O L n P z / 9 r 6 3 u W 0 j y f t 9 q v Y 7 o H Q v z q 5 H k T i N P y R v K 7 d l x Z u s H S X Z O 2 W d q i f r S l E S o t C S S B 9 J O Z t 1 + Q P d 5 7 g v 9 g w A g p z u 6 Z 5 p g N A + d z m / s U W g M e j p 7 p n p b s z 8 u j k a x b A E Q Z a A t O s V o N n C 7 P v t p s F 2 M Y a 9 a X a 6 o 3 Z T o d 0 s 2 G 5 G 2 v W q x 2 z R 8 f 1 2 8 2 C 7 O W l 3 4 r U 7 F d o t g u 1 K 3 I y D T 5 G a O 8 3 3 e 5 e b P B f a n Q T b n Q h P T Y N P S T 0 3 o 7 C 1 S 5 Z j I q P E S M + F T d m 9 z c W d 4 n O S J Z q w K b q 3 u U h U f E 7 S n Q m b k p F s y Y S N y U g z g w k b i 5 G s x Y T N x U j 2 A m F 7 A c l e I G w v I N k L R K Y + y V 4 g b C 8 g 2 Q u E 7 Q U k e 4 G w v Y B k L x C 2 F 5 D s B c L 2 A u J K E r Y X k O w F w v Y C k r 2 k Y X t J c Z E u 8 I t V b S V w / q V t Y N Y s 6 X W N v q 1 D m d w 5 x f u Y 7 G f 9 3 H X 7 4 v 2 T p N 4 d e M W i Y F s t S m y A F u 7 y a m J t q y 6 J D Z A y X V 7 Z G c h I 1 S 1 v o Y S s C L + C N u D x m E 0 I h V c l L S c a 8 i q 6 Q B 4 R V B O l 7 9 W 0 + 7 k t z 1 j 9 b u s x 1 p 5 k W 6 m R P N e 0 m S x s N J M s H 6 y D l d g g q / X p T 2 q f H S E 0 1 V f m l R 9 u S a u g b W d 2 D V 8 3 5 Z u H V e W q J V U F y u W q c q s 3 d R C 1 t v 2 w 1 K u 1 V 5 G z F U N O 5 V R g M R V U S o W T e P P T 7 j 8 W 2 B g K 6 i w U e f h x X H W n o H o u J u H H c e 2 a 8 Y g 8 P g 5 + M / h x j I f C m B r y O A s / j v 2 2 M X W L x + P w 4 9 i E x 1 Q z k 1 H w 8 Q m e C C b U y Z 2 k 4 c f x E J v Q I T o p w o 9 j L 3 F C X d b J N P j 4 F F v d l F r d N G x 1 U 2 x 1 U 2 p 1 0 7 D V T b H V T a n V T c N W N y U 1 H 0 f U 7 M w o b H d m R C K f k V f Y c h Q 2 P T M i M c P I i 8 l G Y e s z I 1 I K c + R F X y Z s g I Z U l T T G i 7 N M 2 A Y N K c 9 o / H q c J m y G h t Q 5 N M a L n U z Y E g 2 Q c p t e c U w D Y W M 0 p G a a A S 9 i g r A 9 G l J 8 z H h 1 K g 2 E T d K Q K l 4 m 9 W w y j d h k S q N x z y b T i E 2 m k V 6 m k T 5 k E Q 6 z y P s z G r l 6 M s i J x e a e x e Z E l 7 k 3 r n L 6 F m / c k C X V F N 5 b y K p p C r 8 O L e d e a 9 M 1 l i n O W 9 Y / X h y S L L K P c 7 F I h 8 e J h A t v T B e c U 6 9 / w Z g o a O w N + T E X v X V 4 A d H v 2 J s R x l z Y 1 e E F Z M I Y e x P G + D A L G J P 5 Z O K N p c l h N j I h 0 8 3 E m 2 4 m h 1 n R h K y Q E 2 8 k T 7 h Q t M M L y A I 6 8 S a C K R d D 6 l 8 w J b P V 1 J t H p l y y o M M L y P I 7 9 a a h 6 W H T 0 J S M 5 K k 3 k q c H j W Q Y k S B v 5 A V 5 o 4 N G M o x I s D u i I x l G B 4 1 k G B X k B V 6 o O z p o J M M I j 2 Q w d C Q D m x L V v 4 B W A v e q t A O b y + z w A l J x 2 9 C R D G w S s s M L S D L B L 7 n O Z g / 1 L y C 1 f w H o S A Y 2 7 d f h B Y d J m F S q B a D j F N g 0 m v 4 F b D a t w + N k F K b e K E w P G 4 X p Q f M c p G S M Z d 4 Y y w 4 b Y x k Z Y 1 4 t Y c h J y s w r D Q w 5 m W m 8 S r + Q k 3 H g u b Z A X F v w 0 k V Q E E 4 L j 9 O C c O o 5 v 0 C y Q u C l h a A g n B Y e p 8 T H A 8 / H A + v j t Z V 3 v 5 n V G 1 y t O m 7 b 3 a 4 3 5 S / z N 3 + f 3 1 w n E 3 e z a 6 W 3 / W Z X f m / s c f L + / d E 3 Z X m / S R 7 q x G L 9 0 b v a J n E z 2 8 y b b R f P 2 1 9 H H 6 p d s a + s 2 h f z m / n i Z r 1 4 u N / u 6 b A X T x a r k 6 M P L Z v f 1 6 e S k v m 6 e t + 7 a o f I w u X t 7 d 3 s q n w 1 u 3 s o n 0 S 7 Z J t / O a v + / Z v 9 Z / v o q m 3 j u / J v m 4 q r P Z P H 7 R f 0 J g P Z Z h u r V G M V g 1 2 X P 8 3 v / u s / m 4 7 h R O q i 6 p O z k 8 P J p a 9 u q 4 u b t d X I + i j Q x 2 Q q 9 p K T i H 2 J F X 7 1 3 z + 2 a / 3 6 l n f p W / M 1 9 G X 1 + u q P 4 / Y v q Z f f l 3 e 3 J H v 8 h x 0 3 t f E m 6 7 d 3 8 0 3 1 P W L 5 N r G d K e f X V a 8 s s W t b F x X R 7 r g A 3 w 3 L D / u 6 4 6 R + 2 g q i a a b i 7 e x X K / / 5 / d x e f H J 0 f P S 0 4 v X r 2 Z u T 3 U a Y p M p w V / 9 f z t / U q q j V V F H U X f Z v h 0 R s R B H H R X C M j v o F R 0 u k A y E O o Z M R 1 D N Z s t V 9 n K U e E i s 6 8 Q P I K A / l J z R x y T M x 3 4 t 6 J t 7 u H d t u q 2 k 2 r M 3 L x q S a z T / r V s M f V A t C K r M R Z H 7 H z U u G m 8 T 5 u r f b + 9 V e q 9 e I y J P A P A n 7 J 5 9 F 3 u l s K P P e G n g W 2 G f 3 7 3 0 m S f 7 Z 1 W p 5 a S d g O + A c + b d P c f 2 k T 7 1 5 o E 9 x f N K n Z v v D T N v n X t j H z q w t 2 u F + 3 X 6 p X b 6 9 q c 6 t 1 C u 7 2 9 K 3 b + n V Z L 6 4 D i / R 2 F 7 0 i 3 S q X a S 3 i 8 5 + P 1 5 w b G e d x n a q X U 5 l J o K d z L o N 6 W w 7 i M 5 C K n P O F b k 6 c y / r B n r e b 6 C 3 X G 5 t 8 W a 1 L N + W i + N k U 8 7 u 1 8 f W q V i X 9 7 b N x r 1 4 W P 5 z b V l f x q k + f K B H s t Y V F 9 v z V X t e P 1 / e X 8 4 X W m a r l f v 9 0 W 7 7 c T M b 4 F 3 k e B M 5 3 k O O t 5 D j H e R 4 A z n e P 4 6 3 j 5 P d 4 + 7 m c T t K t x 1 a t T 1 j X I j j 5 N 8 e l p v y Y v O r F c A 3 y 0 X 5 d N 9 M t T 0 5 J D n X Q f B k x 8 u 6 E t l F e W X 9 x 3 0 A Z x p n A V 8 E 7 m L K X c y 4 i z l 3 s e A u j r m L E + 7 i l L v Y y N 2 7 e p D 4 m 9 b W Y d l D V 9 n X B v p + d w p i f T X b l D f L F d F E 8 D 4 6 q M E R p D G C L E a Q x w i K G M E 4 R j C J E U x j B P h k D U t x k A H 4 L R 9 p p t 1 C E X A T G 2 p W h T q 7 I q 8 L + x 3 V d S 7 m W e C + b n 0 Y 9 1 w f W s e 0 3 n k k 8 y t t F 3 O 5 d 2 k a h + b r + t D I Q 7 I 9 M N L w M F s s 7 d J y O 7 O d W 9 z a M G f 5 U 3 L 5 c G e V f P l w 2 z j C F U V S b q 5 O m l a + q j f Z l 6 v k b b 0 K 2 z 8 X p / a h 2 2 V Z R 0 r 3 j U f w Z + 5 m 2 B k a 9 3 O G x j p n y O m G z F 6 A u 0 k n 5 2 i s c 4 6 6 M P V q e X d T 7 e h S B E A V 2 S r s L k 3 q q d L d V 9 b m l I 7 b A x u 7 x B P O S g 2 Y F T k s s P e D N C 5 A 4 k I f P q j h w x U p I J F C D j m o C A Q J 7 U M n u / a r 6 / N 3 7 p 3 2 D f 6 d / T u c e 5 z f r X M m Y z O g 4 D i T f I g P X e N C j 2 D k C D E 9 d p y 0 r r I z y V m x P m y 4 2 9 v N l 9 z 9 n 7 e b M b l 7 t + 3 m T H S T n U b t 9 e + W m 5 m 9 v J 2 S 6 8 2 h 9 W G g O s t l B 1 o 1 O t 1 N v c m T + h R W X m / p f E o m V H H Q 1 y + y F m J 7 Z Q f N 6 f K t f c X t v E 1 i v l j 8 3 R q Q / f n p i + f 7 3 / X m 5 F q a d k 1 N / v L W / i 6 v 9 8 N 5 e / 4 K m w N z A o s c 3 g q d w S K k 7 C k s Q o P O Y Y n 3 w L s X P 4 t F H v j e T o L 1 N t l 2 t W s P T V Z 9 u S + v r E V U A 7 T t 0 h + c 4 O K u t e b G S e X d F Z U b M J X d g N h 0 3 v g B k X G o c l T + Z L V e v 2 D z 6 9 t 6 F d j z 5 4 Q 3 3 9 n R u P 7 J K r t h 8 T t L G / V W p t t o V p 6 G X i w 2 R X Z S N b b 1 H c h 8 T e 4 z s 3 e Y A n w K d m a P 0 X D t 8 L N + g M p Z A w J U a E U g d P L 6 w D X I r R Y 8 n b 9 2 E D r V s k D b D t q m 0 D O 8 Y h C i C 9 k w v N V E s I u Q r s U u C I t L g J h Z a n h q b u H h K d l l i J A K i x K h C i x R h F K 1 Y L F j W D 8 T O 4 + 3 M 9 K X 5 b o 6 T V P N t c l q / g Z 9 T 7 I 3 n k T m r H r S w W v e t 5 X H e / K 8 X F 8 1 C 6 N 9 1 S e f z B f 2 b f z 7 f v / J J + u f Z 3 b V S 7 6 4 e G 5 f f l d u a t q z l V 2 a P 0 s + X 7 8 7 e b 6 8 e r i v j u p + M a 8 z E I v a L X l y d P q X t e 3 l 6 e Z N e X l Z m t P z + e V q t v r 1 9 P O 7 5 c P 1 x W a 5 m t 2 U p 9 8 u y u e r + b v y 0 y / s u l p V 3 C 6 t l L 8 s q 7 B q X V 6 0 + r 2 Z 2 w t 2 I L Q X K s 4 u N i d / e r g s V 5 u H 9 e m X 9 u b K q u X T 5 M V 3 9 v W / z G 9 v 7 a R g 3 Y E X C 2 s j l v x d 7 R G c w g i K 0 6 v 1 u 0 Y p d u Z Y n L a O v f 3 T d r A i O L E E 1 e e 0 H 3 b B e Y X n V I X n 2 z X J / i x G 2 X H y x 8 X V s h J h 9 T s f j c z r W m n N Q j K r O m B X z 0 0 V H V g 1 1 2 d X 3 p W z h 7 0 C / 7 x a 3 t t w f 0 v 7 p B K o f e n 2 6 r O 7 u 4 u r 2 Z 3 1 3 j / b r B 7 K 1 9 E V K r o + h X i q 7 Y T 7 f l 6 / Z m N j s A / H 7 / 0 T N v X d y n l y v g J 4 p 6 m j R K A h S j V E m Y Y o 1 x A V G q K x h m i i I Z q q h D l S U a l k b l R C N y q p G 5 X Y j U r u R i V 4 o 5 K 8 U Y n e q G Q P j O w 5 b L U I C S N 1 D i s t Q s L I m 8 N F i 5 A w k u Y w 0 C I k j I w 5 v L O Y 6 D T i V c i X M 2 s W x C x G o x A x Z 9 A s R l m M R i F l z p R Z C L K Y / S n k D B o 7 V s g Z F H I G h Z x B I W d Q y B k U c g a F n E E h 5 1 S a q n f p m 2 r 7 H B d v c W R M y M W R p T q y T E d W 6 M h y H d l Y R z b R k U 1 1 Z P W s o q F T 6 s E o F W G U m j B K V R i l k I 1 S Z 0 a p D a N U h 1 H q A z h 9 s H i j U S J O E y y + a J S I 0 w G L J x o l 4 q T P 4 o d G i T i 5 s 3 i h c W H q R K 6 S O W v + P B Z o n E o l d t b w e c D P O J V K 8 q z J 8 6 i e c R t V y R 5 0 9 q 6 S P a h k D y r Z g 0 r 2 o J I 9 q G Q P K t m D S v a p O P V H f R 2 G S h U s c f 4 O Q 6 U K l j i f h 6 F S B U u c 3 8 N Q q Y I l z v d h Y n W d 9 8 N a P k e n X H Z Z 6 + f o l M s u O w I 4 O u W y y 4 4 C j k 6 5 7 L I j g f M L m b G A c 4 I 7 X W 3 m 9 8 1 9 8 m E M E 3 y I Y e T z C P m B 3 N V x c n T n w O P u K u z 8 k + A 2 1 5 V t m p I 1 3 z z c X 1 b b B Z Y P i + v n y 1 8 W T 5 4 / V G n E 5 e L k + e z X 9 Z M f c N L q 9 a e 7 N k n s / v r p a V r k T 5 v a N y N d V a G O l Q C q b r 5 C U L O 7 j u 5 6 X x c J M p N t O R 7 L q F s l y K E S 6 w 0 5 N F V h H 7 N v q a 0 k V P 3 9 M l r Z p 1 9 h H 1 e T E N c k O J r 8 Z B h N Q i 9 N C r 0 N S A f p E j h d g k q X o V q p D s 1 B u u x X j t S 4 y k z j y k y H V 2 b a S 5 l d K w g B V m b K K T N V K T N U m t W h i S k z w G u / 2 q f g q j K L q z I b X p V Z L 1 V 2 r d y T Y l V m n C o z l S p D d W A d m g N U 2 a / Q a u q q M o + r M h 9 e l X k v V X a t m 5 N h V e a c K n O V K k N F Z x 2 a A 1 T Z r 6 p r 5 q q y i K u y G F 6 V R S 9 V C t 0 N i A e p s u B U W a h U G a p w 6 9 A c o M q e J W R d V Y 7 j q h w P r 8 p x L 1 U K 3 Q 2 I B 6 l y z K l y r F J l q J y u Q 3 O A K v v V q y 1 c V U 7 i q p w M r 8 p J L 1 U K 3 Q 2 I B 6 l y w q l y o l J l q H a v Q 3 O A K v s V x x 2 7 q p z G V T k d X p X T X q o U u h s Q D 1 L l l F P l V K X K U K F g h + Y A V f a r x D t B O Y J R X J e W Z n B l V m 3 2 0 K b Q 4 4 C E c K J g x K n T j H S p g l B t Y p f o A I 1 a B v u o d I p U q s n 7 m E d Q a b / M j 9 T l k I y w U v n 0 j z L / o 0 o A K T J A I Y b 7 J Y C a f u 5 4 U O S A z C M k g U z P L F D n N B D J A x k 2 E W R 0 m S C j S Q U Z R S 4 o x H D P V B D K B R l F M s g 8 Q j b I 9 E s H S X 0 O C Q l r l c 0 I G V 1 K y G h y Q u a w p J D p l x U y K C 1 k F H k h 8 w i J I d M v M y T 1 O S Q k r F U 2 O W R 0 2 S G j S Q + Z w / J D p l + C y K A M k V G k i M w j 5 I h M v y S R 1 O e Q k L B W 2 T y R 0 S W K j C Z T Z A 5 L F Z l + u S K D k k V G k S 0 y j 5 A u M v 3 y R V K f Q 0 L C W m V T R k a X M z K a p J E 5 L G t k + q W N D M o b G U X i y D x C 5 s j 0 S x 1 J f Q 4 J C W u V z R 4 Z X f r I a P J H 5 r A E k u m X Q T I o h W Q U O S T z C E k k 0 y + L J P U 5 J C S s V T a R Z H S Z J K N J J Z n D c k m m X z L J o G y S U a S T z C P k k 0 y / h J L U 5 5 C Q s F b Z n J L R J Z W M J q t k D k s r m X 5 5 J Y M S S 6 B I L M E j J J a g X 2 J J 6 n N I S H j f A p t a A l 1 q C T S p J T g s t Q T 9 U k s G 5 Z Z A k V u C R 8 g t Q b / c k t T n k J C w V t n c E u h y S 6 D J L c F h u S X o l 1 s C l F s C z f 6 i x 9 h g 1 C + 3 J P U 5 J C S s V X 6 T k X K X k W q b 0 W G 5 J e i X W w K U W w J F b g k e I b c E P b c a d d 5 r R H J L w O a W Q J d b A k 1 u C Q 7 L L U H P H U c o t w S K 3 B I 8 Q m 4 J + u W W p D 6 H h I S 1 y u a W Q J d b A k 1 u C Q 7 L L U G / 3 B K g 3 B I o c k v w C L k l 6 J d b k v o c E h L W K p t b A l 1 u C T S 5 J T g s t w T 9 c k u A c k u g y C 3 B I + S W o F 9 u S e p z S E h Y q 2 x u C X S 5 J d D k l u C w 3 B L 0 y y 0 B y i 2 B I r c E j 5 B b g n 6 5 J a n P I S F h r b K 5 J d D l l k C T W 4 L D c k v Q L 7 c E K L c E i t w S P E J u C f r l l q Q + h 4 S E t c r m l k C X W w J N b g k O y y 1 B v 9 w S o N w S K H J L 8 A i 5 J e i X W 5 L 6 H B I S 1 i q b W w J d b g k 0 u S U 4 L L c E / X J L g H J L q S K 3 l D 5 C b i n t l 1 u S + h w S E j 5 G w e a W U l 1 u K d X k l t L D c k t p v 9 z S t p 8 V 3 9 v + n c / X m 5 P P r Z Y 2 T + o / L 8 q 7 8 m r z 5 P 0 P T v r 0 9 b H z C 9 C v F P 3 K 0 K 8 c / S r Q r z H 6 N U G / p u i X G e G f l p v E / Y 3 5 M Z g h k x F q z J P B T B n M l c F s G c w X j H D T Q M S E + Q L M F 2 B J A W Y L M F u A 2 Q L M F m C 2 r F 1 9 2 K r 2 x w r 6 q 9 b 1 0 6 c R a + q a 3 2 n K u d V 2 + t G O D r e j / x F m 9 D J u R l 0 T S k 1 J 6 n r q + 2 h G / 0 v M 6 F l j R l F Q X V S 0 C 4 P q h g y w Q Q N s F j g J P 1 U H 7 g 8 y A x H G W x 5 e O j x Q b N b 6 p P r W 8 m V o X b / i y 7 7 Q o M v e / f K d l r 1 a R F t f y y / q N G / g o 9 + u l j / N y 7 u a t 7 u b 8 r 4 s F z V 0 8 q u a 8 p f y e r 1 Z 1 Y j w z t U K Z f d u t l 6 3 M M u 7 q 7 M 9 L K 5 4 I 7 k u N 7 P 5 3 R o T r H 9 e / l J f a T C j E / p i / z J q 5 2 y L Q u s 9 t 7 v h U n / d 4 t r 6 r + H u k G c d Q H P 6 + M U W D L / + c b 4 H o d 3 / 3 u L M 1 h e + a g F i 6 1 9 / 2 g L L 0 m c b E N f 6 6 h 8 / v b d 8 z K 5 X D V g 0 l A m 5 8 u L P L T p 2 u T o K G B Q e c t i k O P v b 2 9 G r v Q G 5 O q 2 N e H 7 9 U D a W 1 N b i b C y + r c N Z / R L Q N 0 X c M a e i N G 7 s R x C a A 6 k 5 X K 2 U 1 i r N h O Z S q T l c p 5 Y W N i 2 E 5 j K p O V w p l V Z B n Q j N 5 V J z u I 6 y V 6 5 8 J L R X S O 2 R I v R U G U b S x l h q k J Q L 9 0 r C S / q Y S A 2 S E u 1 e f X N J I 1 O p Q V z o 1 1 C V G E k n r n C J Q e N C t X 7 t a U k t R h 4 j p N y 0 N 0 o k x R h x n N A i 3 1 5 V X 0 k 1 R h w r h h R 1 9 s s A S 0 2 K 4 8 W Q 0 s J e 3 W B R P e K Y o c X H q X p S U T 3 i s D F 4 3 K R U P a m o H n H g G D x y U q q e V F S P O H R I U f S U q i c V 1 S M O H o N H T 0 r V k 0 r q A X H 0 e P t H 8 D 4 L e n I J n 9 u i h 9 X w Q T 2 6 i w z v o a M 7 B / G + S b p b F O + V p T u E 8 f 5 o u i s c 7 4 m n J w H w O Q h 6 + g O f f a E n f v B 5 J y I r J C o i K S Q o I i c k J i I l J C Q i I y Q i I i E k I C I f J B 7 6 L R s Z A + k 9 6 j w 2 T D r I M 2 m Q g z g H A 2 4 y o 4 M 8 E 1 0 V 2 V f B c 3 D m e S v S I A d x D g Y 8 B 2 d 0 k G f S I A d x D g Y 8 B 2 d 0 k G f i I B f n Y M B z c E b V k 4 v q E e d g w H N w T t W T i + o R 5 2 D A c 3 B O 1 Z O L 6 h H n Y M B z c E 7 V k 4 v q E e d g w H N w T t W T S + p J x T n Y 3 o n C q q X C t h Q + D j n e F + O h + x 8 Z z N X + i G r J p 2 2 b G k Q 1 u X N d d 2 e k q M A k 3 Q z I I M Y O 3 k V h I 6 D M c d e t C i k q k U l 3 x j F 4 t 6 8 / G 7 S D u z 1 x y v 5 1 / W i f o g q f d I 8 Y A 9 U 7 c P + y j v 3 r + v k 6 R Q V K 6 W 4 p B m V 4 4 P 7 l H f v X 9 U N u i u q r 0 n 1 D D E D y w P 0 r O v a v 6 y f N F J W H p T t o G G z n g f s 3 7 t a / r O v G 8 R R V t 6 V 7 S R h Y 6 o H 7 J + w i k T v Y 9 R t b h o r z 0 m 0 V D K T 2 w B 0 U N l T I / H b 9 + p P h d Z 5 u M e D w w A f u o o S J I r P c d X N t h k p N e 0 A h H J r 5 0 H 3 s 6 s x k n c H u k D P j w W Z w W O x D 9 7 G r N 5 N 1 9 W Y y 5 M 1 4 I B I c k v z Q f R Q 2 + c s s d / V o M u T R e J A K H A 7 + 0 H 0 U t r z L L H f 1 a j L k 1 X g A A x y K / 9 B 9 F D a A y y x 3 9 W w y 5 N l 4 x + 2 5 G g R D 9 1 H Y D i 2 z 3 N W 7 y Z B 3 4 x 0 + 5 y o o D N 1 H Y X O w D C T Z 1 c P J k I f j H c X m 6 j 8 M 3 c e u T k 7 e 1 c n J k Z P j H U z m q l c M 3 c e u f k 7 e 1 c / J k Z / j H d P l a m 8 M 3 E f p i K 7 M c l c / J 0 d + j n d o l a s c M n Q f u / o 5 e V c / J 8 d J m 3 j W Z n A / R z q + K b P c G e 0 W + T n e g U a u a s v Q f e z q 5 + R d / Z w c + T n e 8 T 6 u 5 s z Q f e z q 5 + R d / Z w c + T n e Y T e u Y s 7 Q f e z q 5 + R d / Z w c + T n e 0 S + u 3 s / Q f e z q 5 + R d / Z w c + T n e Q S i u W t H Q f e z q 5 x R d / Z w c + T n e s S C u 1 t L Q f e z q 5 x R d / Z w C + T n e I R m u U t T Q f e z q 5 x R d / Z w C + T n e k R G u z t X Q O f 9 + x 0 W k w x Q h 0 d i e n q F P y b u u 7 p z Z w C k Q h + Z f P 7 P O 0 J b q 7 M U F T 1 S d F E l 3 R M 9 4 I k u T 7 W h e i j R 5 j K Z 6 W c v 3 F 9 / + 5 b v 2 W M r Z y + + P l A L t h 5 H R f G E 8 Q 1 / v P b G G w C A c m r h Y Q S N W U I g V F G K F Q c T a D 6 S i 2 V 9 0 h j Z M e G I N o T E 4 N H G x p h q x b o n C c k 0 V c k 0 H k W s / m I i U z A I Z J 9 c Q H o J D E 5 d r p p F r p j D X T C H W b B C x 9 i w S k 2 K x 5 p x Y Q 4 A E D k 1 c r L l G r L l C r L l C r P k g Y u 0 H l N B 8 j z 9 D W 7 E 8 s Y Y Q A R y a u F g L j V g L h V g L h V i L Q c T a D 6 m g 2 Q Z w h n a / e W I N H c l 3 a O J i H W v E O l a I d a w Q 6 3 g Q s f a D C m h 2 H 5 y h D Y e e W E N n 4 h 2 a u F g n G r F O F G K d K M Q 6 G U S s / c 7 q N 5 s e z t A e T 0 + s o U P p D k 1 c r F O N W K c K s U 4 V Y p 0 O I t Z + h + W b v R Z n e G O t H x C E z o W 7 R I q Q Y K S K C U a a o G C k i Q p G Q 0 h X 2 u M R V w q W L h 9 u q e I t X c C l i 7 h U I Z c q 5 h o k 6 J I 2 m M S V g q X L R l 3 B + g 4 u k U K 6 q s D L a C I v o w m 9 z C C x l 7 S 7 J a 4 U L F 0 2 + A r W W X C J F N J V x V / N C 2 P S 1 Q R g Z p A I T N p X E 1 c K l i 4 b g g X r H b h E C u m q o j C j C c O M J g 4 z g w R i 0 o 6 e u F K w d N l I L F h 3 w C V S S F c V j B l N N G Y 0 4 Z g Z J B 6 T 9 h L F l Y K l y w Z k Q f x / l 0 g h X V V M Z j R B m d F E Z W a Q s E z a x R R X C p Y u G 5 c F c f h d I o V 0 V a G Z 0 c R m R h O c m U G i M 2 n / V F w p W L p s e B b E w 3 e J F N J V R W h G E 6 I Z T Y x m B g n S p J 1 b c a V g 6 b J R W h C X 3 i V S S F c V q B l N p G Y 0 o Z o Z J F a T 9 o z F l Y I / M r C x W h A f 3 i V S f G d Q x W q g i d V A E 6 v B I L G a t F s t r h Q s X T Z W C + K 0 u 0 Q K 6 a p i N d D E a q C J 1 W C Q W E 3 a J x d X C p Y u / 4 V M 9 Y l M 9 4 1 M 9 5 F M 9 Z V M 9 Z l s k F h N 2 q E X V w q W L h u r B X H L X S K F d F W x G m h i N d D E a j B I r C b t D Y w r B U u X j d W C + O E u k U K 6 q l g N N L E a a G I 1 G C R W k 3 Y l x p W C p c v G a k E c b 5 d I I V 1 V r A a a W A 0 0 s R o M E q t J + y H j S s H S Z W O 1 I J 6 2 S 6 S Q r i p W A 0 2 s B p p Y D Q a J 1 a S d m H G l Y O m y s V o Q 1 9 o l U k h X F a u B J l Y D T a w G g 8 R q 0 h 7 Q u F K w d N l Y L Y g v 7 R I p p K u K 1 U A T q 4 E m V o N B Y j V p 9 2 l c K V i 6 b K w W x H l 2 i R T S V c V q o I n V Q B O r w S C x m r T v N a 4 U v H O J j d W C e M s u k W L z k i p W S z W x W q q J 1 V J d r C Z u R E x 6 x h F 1 l H a x h c V s Z S p i r z q p i N f H z i 9 A v 1 L 0 K 0 O / c v S r Q L / G 6 N c E / Z q i X z X 2 q v s d s E J T d b 9 c 4 d u Y o Q Z 7 1 c 1 m 4 9 u Y K Y O 5 M p g t g / k C z B c Q K W G 2 A L M F W F C A u Q L M F W C u A H M F m C u K v V p Z / A 5 6 V b a o r r t + G 7 S W l 8 v F T f J q e f f L b L 0 u F + V H k / r f Y V L V F B U 3 q a 6 H y R p Q z p c P f a a n T z 4 a 0 / 9 U Y 3 r x U m N M X U / t N Z C s z 3 b Q y h + n p v 8 l 1 u Q A j X M g Y w j e G 4 M d h 4 y v B j 0 + 2 0 F n X 2 6 R p B f l g s H O Z o D F d l f X V z / P b z d J W W F z L 8 u f y s V 1 e + 9 5 6 e E d M / B d L D G w x C l P n L L E G U + c s c Q 5 T 5 y z x A V P X L D E Y 5 5 4 z B J P e O I J S z z l i a e 8 w k a C V k Y 8 u R H I e S 0 a Q Y 2 G 1 6 M R F G l 4 T R p B l Y b X p R G U a X h t G k G d h t e n E R R q e I 0 a Q a W G 1 6 k R l G p 4 r Y K g V e C 1 C o J W Q R i b 0 u D k t Q q C V o H X K g h a B V 6 r I G g V e K 2 C o F X g t Q q C V o H X K g h a B V 6 r I G g V e K 2 m g l Z T j D H h / k C o B e h 4 P z o H j w 6 M o 5 P V 6 A g y O q u L w T s w C x j 4 C k N E Y T A l D D u E A X o w l A 0 G f c H w K P i A L T 6 K i u W B Y R w w 4 A G G B s C H 6 P F x c 3 w w G x 9 h R r z Q E 3 / 0 C x x J / + C f J C l P s s g k 7 U n y d C S x R H c Y U 7 b o L k 6 6 7 5 D u l K N 7 u + h u J L p / h u 7 4 o P v J 6 V d 1 + h 2 Y y o 1 + a 6 N f h + j 3 D J q B p z l j m u W k e y g I f 4 1 a a z f q f j a z X s 6 1 H a X J k 1 0 V i k 9 f P H 9 a U T y f r 6 / u Z v P 7 c l X / W l r v q V x V g 9 a 6 X p U r 9 f N y + d P 1 7 X L 1 d l 1 f X 9 4 k p f W X o M p n V d f u y 7 K u g P F N N c p r 2 i v r 5 s 0 W 1 9 Y 3 q x t s p 4 H 7 u k 6 I U 5 c D 3 X 2 3 L T e C L r a O n f T Q f V s T R C K o W V x v S 3 / U E 9 O r r 7 6 6 e J o 4 W b f 6 0 s u n S R v p J p v T a k F M 3 s x m K + f 2 1 t W s G 9 w / V 5 V v 2 d e L q Z 8 0 6 M l n w p P P f C a e h Z l 4 F n v X h d / k R b j J i 2 C T O y G 2 q t 5 p e b 6 w w n 6 4 2 p Q P 1 p 7 2 5 v F 0 R 3 A 9 X 8 1 v y s W G v 7 u Z 3 V 8 u r f 3 d z + a b V c n T V H V z K u N z 3 / 1 / r R S X b x P 7 T F X 5 Z X a 3 T p 6 0 t + s H X y 1 X z Y O b X 8 q 9 u a 1 u L T E m r B p 6 m G 9 u l / d N w H B d / g u h + H r 3 s B H v A L n z V T 0 c L s v 1 Z j b b V O 0 n J y c n S T U S F + V 9 V Z U F k / u S 9 G + 3 c m R u U S E i i i d f P 9 u b 7 G 6 Q W A 5 w d O T Q M g F S f d 0 f a g l 3 d 2 a l v m w n n u S J n R P s X 5 a t 2 / L h 7 / a 9 9 8 u b O g e + V d O u s k g 9 w 7 m F O 5 q j U Q x L E G Q J S L t e U Z U t d L z f b h p s F + O y m 2 a n O 2 o 3 F d r N g u 1 m p F 2 v I s o W 8 d 1 v N w + 2 m 5 N 2 J 1 6 7 U 6 H d I t i u x M 0 4 + B S p I 9 N 8 v 3 e 5 y X O h 3 U m w 3 Y n w 1 D T 4 l N R z M w p b u 2 Q 5 J j J K j P R c 2 J T d 2 1 z c K T 4 n W a I J m 6 J 7 m 4 t E x e c k 3 Z m w K R n J l k z Y m I w 0 M 5 i w s R j J W k z Y X I x k L x C 2 F 5 D s B c L 2 A p K 9 Q G T q k + w F w v Y C k r 1 A 2 F 5 A s h c I 2 w t I 9 g J h e w H J X i B s L y C u J G F 7 A c l e I G w v I N l L G r a X F B e e A r 8 A 0 1 Y C 5 1 / a B m b N k l 7 X n d s 6 l M m d U 5 C O y X 7 W z 1 2 3 L 9 4 / S W q 4 g V c A C b Y V k M Q G a D E q r 8 7 T t p K Q 2 A A p P e W V U o G M V J L y F k r I i v A r a A M e j 9 m E U H i V v 3 K i I a 9 K C e Q R Q T V R + l 5 N u 5 / b k o P V 7 7 b G Y O 1 J t t U H y X N N m 8 n C R j P J 8 s E 6 W I k N s l q f / q T 2 2 R F C U 3 1 l X v n h l r Q K 2 n Z m 1 / B 1 U 7 5 5 W F W u W l J V V V y u K r d 6 U w d R a 9 s P S 7 1 a e 1 U m W z H k V E 4 F F l N B p V Q 4 i T c / 7 f 5 j g Y 2 h o M 5 C k Y c f x 5 V k C q r n Y h J + H N d j G Y / I 4 + P g N 4 M f x 3 g o j K k h j 7 P w 4 9 h v G 1 O 3 e D w O P 4 5 N e E w 1 M x k F H 5 / g i W B C n d x J G n 4 c D 7 E J H a K T I v w 4 9 h I n 1 G W d T I O P T 7 H V T a n V T c N W N 8 V W N 6 V W N w 1 b 3 R R b 3 Z R a 3 T R s d V N S x 3 B E z c 6 M w n Z n R i T y G X n F G k d h 0 z M j E j O M v J h s F L Y + M y L l H U d e 9 G X C B m h I p U R j v D j L h G 3 Q k J K D x q 8 x a c J m a E j t P m O 8 2 M m E L d E A K S H p F X w 0 E D Z G Q + q A G f A i J g j b o y E F t Y x X e 9 F A 2 C Q N q U x l U s 8 m 0 4 h N p j Q a 9 2 w y j d h k G u l l G u l D F u E w i 7 w / o 5 G r J 4 O c W G z u W W x O d J l 7 4 y q n b / H G D V l S T e G 9 h a y a p v B r q 3 L u t T Z d Y 5 n i v G X 9 4 8 U h y S L 7 O B e L d H i c S L j w x n T B O f X 6 F 4 y J g s b e k B 9 z 0 V u H F x D 9 j r 0 Z Y c y F X R 1 e Q C a M s T d h j A + z g D G Z T y b e W J o c Z i M T M t 1 M v O l m c p g V T c g K O f F G 8 o Q L R T u 8 g C y g E 2 8 i m H I x p P 4 F U z J b T b 1 5 Z M o l C z q 8 g C y / U 2 8 a m h 4 2 D U 3 J S J 5 6 I 3 l 6 0 E i G E Q n y R l 6 Q N z p o J M O I B L s j O p J h d N B I h l F B X u C F u q O D R j K M 8 E g G Q 0 c y s C l R / Q t o d W u v 8 j i w u c w O L y B V p A 0 d y c A m I T u 8 g C Q T / D L i b P Z Q / w J S z x a A j m R g 0 3 4 d X n C Y h E n 1 V Q A 6 T o F N o + l f w G b T O j x O R m H q j c L 0 s F G Y H j T P Q U r G W O a N s e y w M Z a R M e b V x 4 W c p M y 8 c r e Q k 5 n G q 1 4 L O R k H n m s L x L U F L 1 0 E B e G 0 8 D g t C K e e 8 w s k K w R e W g g K w m n h c U p 8 P P B 8 P L A + X l t 5 9 5 t Z v c H V q u O 2 3 e 1 6 U / 4 y f / P 3 + c 1 1 M n E 3 u 1 Z 6 2 2 9 2 5 f f G H i f v 3 x 9 9 U 5 b 3 m + S h T i z W H 7 2 r b R I 3 s 8 2 8 2 X b x v P 1 1 9 K H a F f v K q n 0 x v 5 k v b t a L h / v t n g 5 7 8 W S x O j n 6 0 L L 5 f X 0 q K Z m v q / e 9 q 3 a I L F z e 3 t 7 N r s p X s 7 u H 8 k m 0 S 7 b 5 l 7 P q 3 7 / Z f 7 a P r t o 2 v i v / t q m 4 2 j N 5 3 H 5 B b z K Q b b a x S j V W M d h 1 + d P 8 7 r / + s + k Y T q Q u q j 4 5 O z m c X P r q t r q 4 W V u N r I 8 C f U y m Y i 8 5 i d i X W O F X / / 1 j u 9 a v b 3 m X v j V f Q 1 9 W r 6 / + O G 7 / o r 2 s m 6 i 6 + X 1 5 d 0 v S x 3 / Y s V N b b 7 J + e z f f V B 8 k l m 8 T 2 5 t y f l 1 1 y x K 7 x n V R E e 3 O C / D 9 s A y x r z t O 6 q e t J J p m K h W c / W o V M L + f 2 4 t P j o 6 P n l a 8 f j 1 7 c 7 L b C Z N U K e 7 q / 8 v 5 m 1 o X t Z 4 q i r r P / u 2 Q j I 0 o 4 7 g I j t F Z v + B w i X Q g x C F 0 s o J 6 K k u 2 y o + z 1 E N i R S d + A F n l o f y E Z i 5 5 K u Z 7 U U / F 2 8 1 j 2 3 0 1 z Y 6 1 e d m Y V L P 7 Z 9 1 q + I N q R U h l N o L M 7 7 h 5 y X C T O J / 3 d p u / 2 m v 1 I h F 5 E p g n Y f / k s 8 g 7 n R 1 l 3 l s D z w L 7 7 P 6 9 z y T J P 7 t a L S / t D G w H n C P / 9 i m u n / S p N w / 0 K Y 5 P + t R s f 5 p p + 9 w L + 9 i Z t U U 7 3 K / b T 7 X L t z f V w Z V 6 a X d b + v Y t v Z r M F 9 f h N R r b i 3 6 V T r W r 9 H b V 2 W / I C 4 7 t r N P Y T r X r q c x E s J N Z t y G d b Q f R W U h l z s E i V 2 f u Z d 1 A z / s N 9 J b L r S 3 e r J b l 2 3 J x n G z K 2 f 3 6 2 H o V 6 / L e t t n 4 F w / L f 6 4 t 6 8 s 4 1 Y c P 9 E z W u u J i e 8 B q z + v n y / v L + U L L b L V y v z / a 7 T 9 u Z g O 8 j R z v I s e b y P E e c r y F H O 8 g x x v I 8 f 5 x s n 3 c 3 T 1 u R + m 2 Q 6 u 2 Z 4 w L c Z z 8 2 8 N y U 1 5 s f r U C + G a 5 K J / u m 6 n 2 J 4 c k 5 z o I n u x 4 W V c i u y i v r A O 5 j + B M 4 y z g i 8 B d T L m L G X c x 5 y 4 W 3 M U x d 3 H C X Z x y F x u 5 e 1 c P E n / T 2 j o s e + g q + 9 p A 3 + + O Q a y v Z p v y Z r k i m g j e R y c 1 O I I 0 R p D F C P I Y Q R E j G M c I J j G C a Y w A H 6 1 h K Q 4 y A L / l I 8 2 0 W y g i b m J D z a p Q p 1 f k d W G / p b p O x j w L 3 N e t D + O e 6 0 P r m N Z b j 2 R + p f 1 i L v c u T e P Q f F 2 f G n l I t i d G G h 5 m i 6 V d W m 5 n t n O L W x v m L H 9 K L h / u r J I v H 2 4 b R 7 i i S M r N 1 U n T y l f 1 L v t y l b y t V 2 H 7 5 + L U P n S 7 L O t I 6 b 7 x C P 7 M 3 Q w 7 Q + N + z t B Y 5 w w 5 3 Z D Z C 3 A 3 6 e Q c j X X O U R e m X i 3 v b q o t X Y o A q C J b h d 2 l S T 1 V u h v L 2 q T S c X t i Y 5 d 5 w m m p A d M i h w X 2 f p D G B U h c 6 M M H N X y 4 I g U k U s g h B x W B I K F 9 6 G T X f n V 9 / s 6 9 0 7 7 B v 7 N / h 3 O P 8 7 t 1 z m R s B h Q c Z 5 I P 8 b F r X O w R D B 0 h 5 s e O k 9 Z V d i Y 5 K 9 a H D X d 7 u / u S u / / z d j c m d + + 2 3 Z 2 J b r L T q L 3 + 3 X I z s 5 e 3 U 3 K 9 O 7 Q + D V R n u e x A q 0 a n u 6 s 3 e V I f w 8 r r P Z 1 P y Y Q q D v r 6 R d Z C b K / s o D l d v r W v u J 2 3 W c w X i 7 9 b A 7 I / P 3 3 x f P + 7 3 p 1 c S 9 O u q c l f 3 t r f 5 f V + O G 8 P Y G F z Y I 5 g k d N b o U N Y h J Q 9 h k V o 0 E E s 8 R 5 4 9 + K H s c g D 3 9 t J s N 4 n 2 6 5 2 7 a n J q i / 3 5 Z W 1 i G q A t l 3 6 g x N c 3 L X W 3 D i p v L u i c g O m s h s Q m 8 4 b P y A y D l W O y p + s 1 u s X b H 5 9 W 6 8 C e / 6 c 8 O Y 7 O x r X P 1 l l N y x + Z 2 m j 3 s p 0 G 8 3 K 0 9 C L x a b I T q r G t r 4 D m a / J f W b 2 D l O A T 8 H O 7 D E a r h 1 + 1 g 9 Q O W t A g A q t C I R O X h + 4 B r n V g q f z 1 w 5 C p 1 o W a N t B 2 x R 6 h l c M Q n Q h G 4 a 3 m g h 2 E d K 1 2 A V h c Q k Q M 0 s N T 8 0 t P D w l u w w R U m F R I l S B J Y p Q q h Y s d g z r Z 2 L n 8 X Z G + r J c V 8 d p q r k 2 W c 3 f o O 9 J 9 s a T y J x V T z p 4 z f u 2 8 n h P n p f r q 2 Z h 9 B N i z o f Y V A Y p 8 j m r u n y H Y B 1 e E Y S A O w T z 4 N w F d D c l d 1 N 0 N y N 3 M 3 Q 3 J 3 d z d L c g d w t 0 d 0 z u j t H d C b k 7 Q X e n 5 O 7 U v b s 9 6 e T i E y i W H I g u O b z K a q U 7 8 U r d 8 s b G U e 1 n 8 m 3 w g q / 7 k Q y + L z t Z m I 5 4 X G R I Y F u s n 6 y c r 8 3 8 v r l P H D K f Q P b Q M B t R d 4 1 I R e 2 7 + a + J O H L 4 g Y B X J x F 6 L h 4 m 7 O G + 7 R v 4 8 P S T T + Y L a 4 l R W / z 9 J 5 + s f 5 5 Z c S b V h p B L a 8 X X 9 c y 2 u L Z W e l d u f l c 3 c r a y D v t n y R f L K i 9 y 8 s X c r o t P j j 7 / l 7 / + Z W 3 n u 7 9 u 3 p S X l + V f v 1 2 U z 1 f z d 2 X y a f K F V c + q C p Z r b r 8 s q 8 f W Z X L R T u w 3 8 7 v G 5 d 9 d q q a a 5 G J z k v z p 4 b J c b R 7 W f / 3 S L n M r q 4 d P k x f f L R e b X + a 3 t 9 Z U F z d / f b G w / b Y P v K s t 9 a 9 X 6 3 f J l m X 7 6 2 y 7 v F o L + e m n O r n d 9 O C b 2 b t 5 H b 4 b 2 4 + q O + 9 H H 3 7 4 f F m t i p v X v 7 P C o m R 7 w f x 5 t r I + o O W x e t S T k r 0 z S 3 5 4 s d 5 R / d t D u f r 1 s 8 2 q 2 m Z w N l / M V r + + s I x t 5 j 9 Z b + Y z + v h x U o 2 h z 4 4 a w m p g k Y b + v f y P h 7 n l o m 7 w 9 Z 6 p B o w X c b J p Z 5 N q t B 8 x 6 v t 8 / e 7 k + f L q 4 b 4 C Y K i U e L I V g F X m a a 3 K 0 0 a V 5 v R 8 f r m y D J 1 + f r d 8 u L 7 Y L F e z m / K 0 V f C n O / V a 7 b b K J b o t F 6 5 m r W J b v T 6 B p 6 e S a k + x a k 9 h B P k p 0 u 8 p 0 e / p 2 Y s / n l d k J 5 a s 2 i z x w y 7 1 W s H 1 / f 6 o y t D W a 5 v 9 m Y 7 h O P n j 4 m p Z z W P 2 d 5 G P R s b N z t p r J F X 7 u r W f a h j N q o 5 W C q 8 m V D t 2 6 5 O L 7 8 r Z w 3 5 G / / N q e W 8 b 2 N I + q Q R v e d p e f X Z 3 d 3 E 1 u 5 u t 1 o 0 2 n + 7 t L t y 8 V f s P y R c P C x u O L R e 1 W Z z N F 9 t O H L 0 / O i r / V t 6 / t e 1 + Y Z X / c D e r Q p a j o 3 8 5 i p n I 0 Y e j 5 P X e o M 4 k O 3 r y N P n s X z 9 a 0 2 / I m u R J x A r U n T o + T v z V T A z 2 U U l W 3 e Z / o Z V H W w a o P j 8 O 3 v / 5 g / c R l o L a T D T L Q W t P H 5 e E 3 5 Z V / e 6 T 3 7 W a / / K r V y + a G e O / n W q 7 6 L U g e q 2 6 V f 9 T 3 e O V e Y y U a f J x D 2 U + n i 7 F d I 6 c z A l x U c W Y f 6 z A 1 u 5 m 1 6 s m m Q 4 J u f D f B V v w Q t o p q U A E l L Z L R t E C W w L + 4 W p n 5 I s q l z y / f q j P M T g J b h f 5 s a H 0 t 4 g y u D Y C 5 W W 7 C e L d 8 u 6 m + t C 8 f H s z e 1 c 2 n 6 a a M x z N p 9 D 2 / I Z 7 5 0 f v b A e 6 S 0 + g 4 P M n 9 P Q J P n t C T 5 7 g c y f e i U 9 y s N i H E s D 3 v T O v 5 E C m f y w c 3 / d O / Z I j q d 6 p G H I o x p M b x Q a i 9 + k h I 3 q f H N z x z u 2 Q Y z u U P 4 K q 5 G E b E Y w C D 6 I g x f y l l L 8 U 8 + d B H z U I B R h Z N Y 7 E + o / B B d 1 z T a W W Y a l l V G r k 8 J i H 1 0 T g m j y 0 p g x L z Q N j I l h M H h Q T Q W L y g J h y z J 9 3 t o 0 c b f N O t p G D b d 6 5 t n w y w O 4 a b k l i U s Z H 1 e J 7 d N x C O t 3 i n T f + G S 9 m D 0 4 z R V o r O 6 l T z f t Z 0 u z v 7 n Z S V B 1 M T P A x k B 6 D 4 G O p 9 F g a f C y T H s u C j + X S Y 3 n w s U J 6 r A g + N p Y e G w c f m 0 i P T Y K P T a X H p m F 1 j 0 R 9 j 8 I P y o Y S t h Q j m o o J 2 4 o R j c W E r c W I 5 m L C 9 m J E g z F h i z G i y Z i w z R j R a E z Y a o x o N i Z s N 0 Y 0 H B O 2 H B A t B 0 Y H H r P S 7 W e J H r i 6 v Z u t 1 / P y 1 j / 5 E z 0 b 1 T R g 9 k 1 4 x 4 C i h 6 S a J i D U R O y 0 l M e F f 6 w o f m z K 4 4 N p R D w / 1 T w 8 w z t E 4 g e o 0 G P 6 E 1 T o M Z f N + L f g g z Y f H T m 7 A K T v s t s l F 3 9 Z 9 N b f 3 e d Y 8 c B 1 t 2 / K w W U a v 0 x a s + m 2 j 9 A K H m + R 2 d w U X N z j L a Y d W s x U L W Y d W s x V L e Y d W i x U L R Y d W h y r W h x 3 a H G i a n H S o c W p q s V p h x Z r / 0 N h 4 q M u b S q H T Z d x Y 3 Q D x 3 Q Z O U Y 3 d E y X s W N 0 g 8 d 0 G T 1 G N 3 x M l / F j d A P I d B l B R j e E T J c x Z H S D y H Q Z R U Y 3 j E y X c Q S 6 c Q R d x h F I 4 4 i j l c Y H R y v Z P U c r 2 T N H K 9 k p R y v Z H 0 c r 2 R V H K 9 k L R y v Z A b f K K v U r z m m E T p y n C J 0 4 9 x A 6 c T 4 h d O I c Q e j E c U / o x L F M 6 M T x S e j E M U f c G W Y c H b S n z 1 I c L e 6 i h c b 5 o q s B h / l 4 v / u y M o 1 d 0 f Z / E j z J u l h 6 X Q X 9 k 2 8 e 7 i + r A 2 j L h 8 X 1 8 + U v i y f P H 6 r v U M v F y f P Z r + s n P 2 C 3 + P W n u z Z Z R / b 1 0 9 O 0 y J 8 2 R d V H u n L 1 H U v M V p 1 F J c x 2 v d 2 J o C 4 + b y b b M u + W W 7 f 6 v E M l 1 r F 3 a K q C 8 W b f U l u h v v r 7 Z V S R / Q r G u + q E u D r h s d Q J v d Q p 9 D k g o 2 O C H u A p F F Q K B Y V C 4 U C F C v X a o y J x N J r G N Z o + l k b T X h r t W q T e R 4 D w N J q q N J o q N J r G N R p g V S i W H h W I o 8 8 s r s / s s f S Z 9 d J n 1 w r x P o a H p 8 9 M p c 9 M o c / s I H 0 K 9 c q j A n H 0 m c f 1 m T + W P v N e + u x a p N 1 H Y f H 0 m a v 0 m S v 0 m R + k z 7 y X P t E h m S K u z + K x 9 F n 0 0 q f Q 6 Y C Q j g m O j q f P Q q X P Q q H P 4 i B 9 F r 3 0 i Y 4 1 j e P 6 H D + W P s e 9 9 C l 0 O i C k Y 4 K E 5 O l z r N L n W K H P 8 U H 6 H P f S J z q I N o n r c / J Y + p z 0 0 q f Q 6 Y C Q j g m W l a f P i U q f E 4 U + J w f p c 9 J L n + j o 4 D S u z + l j 6 X P a S 5 9 C p w N C O i Z o Z J 4 + p y p 9 T h X 6 n B 6 k z 2 k v f a L D n n V S P p Z R G D 1 a S m H U S 6 V C v w N y O q a Q c n 5 a Y a T L K 4 w 0 i Y X R Q W q 1 D P b R K z q m a z S Z o s d L F f X L F U k d D 0 n q G K M D c p p V Z o x U K S N F z i j E b 7 + U U d P N H Q + K r J F 5 t L S R 6 Z k 3 6 p w 4 w p k j w 6 a O j C 5 3 Z D T J I 6 P I H o X 4 7 Z k 8 Q t k j o 0 g f m U f L H 5 l + C S S p 5 y F R I d W y O S S j S y I Z T R b J H J Z G M v 3 y S A Y l k o w i k 2 Q e L Z V k + u W S p J 6 H R I V U y 6 a T j C 6 f Z D Q J J X N Y R s n 0 S y k Z l F M y i q S S e b S s k u m X V p J 6 H h I V U i 2 b W T K 6 1 J L R 5 J b M Y c k l 0 y + 7 Z F B 6 y S j y S + b R E k y m X 4 Z J 6 n l I V E i 1 b J L J 6 L J M R p N m M o f l m U y / R J N B m S a j S D W Z R 8 s 1 m X 7 J J q n n I V E h 1 b L 5 J q N L O B l N x s k c l n I y / X J O B i W d j C L r Z B 4 t 7 W T 6 5 Z 2 k n o d E h V T L p p 6 M L v d k N M k n c 1 j 2 y f R L P x m U f z K K B J R 5 t A y U 6 Z e C k n o e E h V S L Z u F M r o 0 l N H k o c x h i S j T L x N l M O 6 Y I h U F j 5 a K g n 6 p K K n n I V G h H R F s M g p 0 y S j Q J K N A k Y w K 7 4 r o l 4 4 y K B 8 F i n w U P F o + C v r l o 6 S e h 0 S F l M v m o 0 C X j w J N P g o O 3 c M E / T J S g D J S o N n H 9 H g b m f p l p K S e h 0 S F l M t v Z l L u Z l J t Z z p 4 P 1 O / n B Q B u F T k p O D R c l L Q c 1 N T 5 1 1 N O C c F b E 4 K d D k p 0 O S k Q J G T C i u 3 5 + 4 m j E + q y E r B o 2 W l o F 9 W S u p 5 S F R I u W x W C n R Z K d B k p U C R l Q o r t 1 9 e i s D L K v J S 8 G h 5 K e i X l 5 J 6 H h I V U i 6 b l w J d X g o 0 e S l Q 5 K X C y u 2 X m S L o w I r M F D x a Z g r 6 Z a a k n o d E h Z T L Z q Z A l 5 k C T W Y K F J m p o G 7 7 p a Y I t r M i N Q W P l p q C f q k p q e c h U S H d s q k p 0 K W m Q J O a A k V q K q j b f r k p g s y t y E 3 B o + W m o F 9 u S u p 5 S F R I t 2 x u C n S 5 K d D k p k C R m w r q t l 9 y i u C q K 5 J T 8 G j J K e i X n J J 6 H h I V 0 i 2 b n A J d c g o 0 y S l Q J K e C u u 2 X n c K o + K k i O 5 U + W n Y q 7 Z e d k n o e E h U 6 3 c F m p 1 J d d i r V Z K f S w 7 Z K p f 1 y U 9 s S B x X f 2 / 6 d z 9 e b k 8 + t q j Z P 6 j 8 v y r v y a v P k / Q / 7 J O z r 4 / 0 P c H + k 7 o / M / Z G 7 P w r 3 x 9 j 9 M X F / T N 0 f Z o R + W R 4 S 5 y f i w i A 2 T I Z J E S c G s W I Q L w Y x Y x A 3 g L g B L B F A L w T E D S C p A G I G E D O A m A H E D C B m r O V 8 2 C r v R 2 s D j T a f P o 3 Y S 9 e k z x a C r r L E j 5 Y y n K X 8 f z a U l 3 F D 6 Z p A a s A J 6 + n r o 6 H 8 Z g z l W W M o U k 0 h Z z a h M L Q h y 4 r i B Y k Q Q W F Q I B E H K I z 8 I 4 L 9 h O F 9 R E S f M I a P C N s T B u o R s X n C a D w i A E 8 Y c k d E 2 Q n j 6 o h Q O h H w H B k v J 4 K Q I 4 P i R G B w Z O S b C N a N D G 8 T A b S R M W w i q D U y U E 0 E m k Z G o 4 n g z 8 i Q M x G Q G R l X J o I k I 4 P H R O B i Z I Q Y h B m B M R U Q / g A + n Y 8 O s u N j 3 u h M N D 4 x j I 7 X 4 s O n 6 K Q m P s e I D v 3 h I 3 H o / B g + X Y W O I u G D O v h U C z n x g Y 9 G k E M D e H M 9 2 X a O t 2 e T j c t 4 g y / Z + o q 3 i J L N k 3 i T I d l + h 7 e p k Q 1 c e K M T 2 Q K E t 8 q Q T S R 4 s w X Z h h B B E Z L B a i K Q Q j J 6 T Q R f S I a z i Y A N y f g 2 E e Q h G f A m A k M k I + B E M I l k S J w I Q J G M k R N B K 5 J B c 4 L 5 B 8 l P w D s B y D d y p l Q i / o C O P z O T D 7 D 4 M y X 5 g I c / c 5 E P Q P g z C f m A g P P s J A O N E 7 U k h Y k z f S Q H h l N F K I m i K h u M n E k M s 8 r 7 n j U W 5 j a J I d W G / Q f U A 9 4 y I i G 5 C q V E O c R W g Z R D Z o 2 3 G q q 4 G 0 J a F Y g p s m q Y L M a n j 5 y K S 6 Y e u 0 h S Q e m D b D X x c q r b v I Z U M L i B R m 1 C W r n e 8 8 7 E x J A n E b I u k Y 4 d 7 0 p d V 8 N o V 8 2 2 D t B + E M z t 9 f / 5 Q b S v 3 T 3 G o L j n 9 l 3 l n m T u E h u h 1 7 1 3 e V Z g 7 / y T N J L d e 1 R R 7 j 1 f Q a + j + u m a 7 G h i 0 T / Z h a F S n r W s 9 q V E P Q M I k x e O 3 M m D i t C G J N Q M m C h O 8 N A 1 u v V l 1 r m x Q k h 4 j T G 1 m r k F B + R k R 1 D o D P y y Y l F K o 8 r i e a z V 9 G 2 0 q O 8 g E H 8 R 9 H O 8 o p M C E s G u c 5 U k M N + 7 w h L a M h L y 8 h x c k I N L c G T R j S y z 4 s I q L q W B x V M e d / J I C 4 0 t d j Q J 4 4 e Y G 7 a g D 0 / 3 R Y n j 9 u L W J C N F 2 Z L f X n k y o e y c r l J Z k a F K Z Q Z y 0 B Q q G 7 Z M m a V 3 C 5 U d g H o f K V v 2 / u j L 8 n J Z V a l v I r N d R h j j y R 5 W s b y S v z d f k q m b v j G G i 4 + r q + F 7 U C a h 2 9 s h e L m 1 k k U 9 P p 3 q Y a R 3 Z 2 3 N s J n / n F d G j D z r F B W j y 7 l T Y Q z f + r J c l j 9 V 7 6 v H s L X 1 + e 3 G + O J r o + W W H Q 7 q H 1 U u k x j 4 E R g W P J v w M Z w 5 P v 2 m f D 4 Z e G F U Q 0 3 k M 9 P w 6 e N H c 3 z 6 7 / H 5 Z O C N U T U 3 k c 9 C w 6 e P X c 3 x 6 X f Z 5 5 O B V 0 Z 1 5 U Q + J x o + f d x s j k 9 f H j 6 f D L w z q n A n 8 r m v A x B i 1 A f t 5 h j 1 d e M z y u B L 4 1 p 7 M q e q o e R D h n O c + q r z O W U Q r n H V P 5 l T 1 W D y A c s 5 T n 0 7 8 j l l M L Z x / U G Z U 9 V w 8 u H S O U 5 9 M / M 5 Z V C + c S V E m V P V g G K q W r A z v m / 0 z J T P Q I 3 j s o z y p K 8 a V E y 5 D J Z Z 1 f o U W q A g v E K p x h V T h 4 N l V r N I c c U 6 c M F K m V n V 0 G I K f L D M a l Y q r g o I r p 4 p M 6 s a X U z l E J Z Z z X L F l R f B p T x l Z n U D T L d k M b M O w 2 x o 0 Y L g A E t 1 A 0 y 3 b D G T I M N s a O F K g w M s 1 Q 0 w 3 c r F z J I M s 6 G 1 K w 0 O s F Q 3 w H S L F z N p M 8 y G l q 8 0 O M B S 3 Q D T r V / M l M 4 w G 1 r B 0 u A A S 1 U D j K k n w 8 Y C m h W M K z q D S 9 D K 4 Y B q g D G F a l h m N S s Y V 0 E F 1 8 O V m d U F W c o o S x V m h V a w L B x o q Q Y Y U 6 q H Z V a z g n G 1 Z H C l Y J l Z 1 Q B j a g W x z G p W M K 6 g D S 5 b L D O r G 2 C 6 F Y x Z 2 R l m Q y t Y F h x g u W 6 A 6 V Y w x t F g m A 2 t Y H l w g O W 6 A a Z b w R g 3 h G E 2 t I L l w Q G W 6 w a Y b g V j v C K G 2 d A K l g c H W K 4 b Y L o V j P G Z G G Z D K 1 g e H G C 5 a o A x F b P Y L J F m B e P K P a H S 7 r g B J 6 d / u l m W d 3 P L O 5 f f j N a D p 6 8 M f l 5 6 j N p R 5 8 4 + w N 1 Z H s Y d e f 3 Z 9 h B O x 4 N L y a f J D 5 y r t D 2 w h M 4 r d a 2 l F K w T d e 7 s Y g x 0 D A b u G H T q W G d w V L d n a b h n 6 c A 9 S z v 1 r D M K g 9 u z L N y z b O C e Z Z 1 6 1 h W C I H V 7 l o d 7 l g / c s 7 x T z 7 q e v 8 / c n h X h n h U D 9 6 z o 1 L O u p 8 9 z t 2 f j c M / G A / d s 3 K l n 0 u 6 p c I W R c 2 c D d a B r k 4 G 7 N m G P q Q 6 9 8 + j c 2 Q I e 6 N x 0 4 M 5 N O 3 a u 6 w y Z o C k S 1 y n g k s p D r 9 i j j v 3 r O k 8 m a K I 0 M Y d k c I / E d O x f 1 9 k y Q d O l i f g l Z m j H x E D H / n W d M x M 0 a Z q I d 2 K G d k 9 M 2 r F / X V E r E j R z m o i P Y o Z 2 U k z W s X 9 d k R u a g 2 / n 7 p m U U P + G d l V M 3 r F / X d E L m h N 6 5 + 6 x m l D / h n Z Y T N G x f 5 3 r n T R n C c / d o 0 G h D g 7 t t 5 h x 1 w 5 2 d V 2 2 h x 7 P 3 f N N o R 4 O 7 b 6 Y r v 5 L 5 + I X 2 9 O Z 5 + 4 h r V A P h / Z h T F c n p n M N i O 0 x 0 n P 3 p F k o P B / a j Y G u b k z n U g j b 8 6 7 n 7 q G n U A + H d m S g q y P T u S L A 9 m D u u X t y K 9 T D w X M s X V 2 Z z s D 4 2 x P E 5 + 7 x s 1 A P h 3 Z m o K s z 0 x k f f n v U + d w 9 Q x f q 4 d D u D H R 1 Z z r D p G / P Z J + 7 B w F D P R z a o Y G u D k 1 n t P D t 4 f F z 9 z R j q I d D u z T Q 1 a X p D J m 9 P e V + 7 h 7 J D P V w a J 8 G u v o 0 n X G j t 8 f x z 9 1 z p a E e D u 3 T Q O e c T G e f B p B P A x G f B o b 2 a a C r T 9 M Z Q X h 7 X P 3 c P e E b S s w P 7 d O k v E 8 T g T n r 3 E m C b + B 2 c u e w B k D d H J p / / c w a x Z b q 7 M U F T 1 Q B v 6 U 7 o m c 8 k a X J d j Q v R Z o 8 R l O 9 r O X 7 i 2 / / 8 l 2 L M n f 2 8 v s j n T j 7 Q e U j k Q I n 0 h A W v E M T F y l o R A o K k Y J C p D C E S H s W T U Q y T T m Z h i D Y H Z q 4 T F O N T L d E Y a G m C q G m Q w i 1 J z A 8 E m r G C T U E f e 7 Q x I W a a Y S a K Q w 1 U 8 g 0 G 0 K m / f D Y 8 X y a c z I N I Y 4 7 N H G Z 5 h q Z 5 g q Z 5 g q Z 5 k P I t B 8 M O o Y C K T i Z h o C + H Z q 4 T A u N T A u F T A u F T I s h Z N o P f h w j q I w 5 m Y Y A t h 2 a u E z H G p m O F T I d K 2 Q 6 H k K m / W C / M f D M h J N p C N j a o Y n L d K K R 6 U Q h 0 4 l C p p M h Z N o P b h v j 9 U w 5 m Y Y A p R 2 a u E y n G p l O F T K d K m Q 6 H U K m / W C u C Y T Y i H X 6 Q 1 D O L p H C 7 R + p / P 6 R x v E f a T z / 0 S C u f z + c a Y L A x g d U q o h K F 1 L p Y i p V U K W K q o Y J q / r F V R T j j w 2 t g p X f X S K F c F X R l d G E V 0 Y T X 5 l B A q y D y t J j p E N f u J o g y 6 i i L K M K s 5 o X x o S r i b P M I I H W Q Y X h M V K k L 1 x N s G V U 0 Z Z R h V t G E 2 8 Z T c B l B o m 4 D i r N j p E 2 f e F q o i 6 j C r u M K u 4 y m s D L a C I v M 0 j o d V B x d I x U 6 g t X E 3 4 Z V f x l V A G Y 0 U R g R h O C m U F i s I P K k 2 O k V 1 + 4 m j j M q A I x o 4 r E j C Y U M 5 p Y z A w S j B 1 U I B w j 5 f r C 1 Q R k R h W R G V V I Z j Q x m d E E Z W a Q q O y g E t 0 Y a d g X r i Y y M 6 r Q z K h i M 6 M J z o w m O j O D h G c H F c n G S M 3 + J w R N g A a q A A 1 U A R p o A j T Q B G g w S I B 2 U J F q j F f s C 1 c T o Y E q Q g N V h A a a C A 0 0 E R o M E q E d V C Q a 4 z 3 7 w l V 9 / d J 9 / t J 9 / 1 J 9 A F N 9 A R v m E 9 g h R Z o x X r Y v X E 2 E B q o I D V Q R G m g i N N B E a D B I h H Z Q k W S M N + 4 L V x O h g S p C A 1 W E B p o I D T Q R G g w S o R 1 U p B j j t f v C 1 U R o o I r Q Q B W h g S Z C A 0 2 E B o N E a A c V C c Z 4 9 7 5 w N R E a q C I 0 U E V o o I n Q Q B O h w S A R 2 k F V e n G 9 A F + 4 m g g N V B E a q C I 0 0 E R o o I n Q Y J A I 7 a A y u b j e g i 9 c T Y Q G q g g N V B E a a C I 0 0 E R o M E i E d l C d W l y v w h e u J k I D V Y Q G q g g N N B E a a C I 0 G C R C O 6 h Q r F v v g 9 u Q p I n Q U l W E l q o i t F Q T o a W a C C 3 V R W i B f Y U 9 H Y U 6 O L v Y A 4 N / L K v 4 W y i r W B n 1 r q p i w G g 6 n 1 l p f J + X y 8 V N 8 m p 5 9 8 t s v S 4 X 5 U e z + a 2 Y T T X T K M y m 8 0 G g x q t 7 + f B x m v l t 2 c u L l y p 7 6 X y s q n F U n 7 n V J z 5 a z G / D Y s L l f n s U + 2 3 A 5 5 g i C q Q u g l 8 K I V r 9 o F u 9 A 7 f C A S 5 q I B W W E O s b C C U N c B E D W r d A K l U g V i c Q C h L g E g S 0 6 o B U a E C s L S C U E 8 A F B G j N A K l M g F g Z Q C g G g O H / K e K / B P I v 4 v o L U P 4 Y v N / D 6 5 c g + k V U f g G I n 0 D v e 2 j 7 E s C + i K k v w O g T 4 H w P K 1 + C x x c R 8 Q U Q f A J 7 7 y H d S + D 2 I p 6 9 A G F P Q O s 9 n H o R m l 5 G o 5 c A 6 A n k v I c y L w L L y 1 j y E n w 8 A Y z 3 M O J F W H g Z C V 4 C f y d w 7 x 7 C u w j q L u O 4 S 9 D t B K z d w 2 c X I d l l F H Y J e J 1 A r X v o 6 i K g u o y h L s G m E 6 B 0 D x t d h E O X E d A l 0 H M C c + 4 h m 4 t g 5 j J + u Q R Z T k D K P V x y E Y p c R h + X A M c J x L i H K i 4 C i c v Y 4 R J c O A E I 9 z D B R R h w G f l b A v s m 8 N 4 e o r c I 4 i 3 j d k t Q 3 Q S c 2 8 P j F i G 4 Z d R t C W i b Q G t 7 a N o i g L a M m S 3 B Z B N g b A 8 L W 4 S / l h G v J Z B r A m v t I V m L 4 N U y X r U E U U 1 A q T 0 c a h F 6 W k a b l g C m C a S 0 h y I t A k f L W N E S P D Q B h P Y w o E X Y Z x n p W Q J 3 J n D O H o K z C N o s 4 z R L 0 M w E j N n D X x Y h l 2 W U Z Q l Y G U M p x 1 G R E S o x Q v J F 4 L c I L x Z B r C J U U g T k i a A v E V Q k h l b E Q I Q Y t g + D 3 G F I O A y g h u H G M D Y X x r H C m E 8 Y H w l j C W H c H Y x R g / F c M P Y J x g n B m B o Y f w J j N W B c A w w A g M + u 4 1 P X + L g w P u i K j 2 j i w 4 X 4 W B w + 0 E W O I p H T M + S 8 B z m h Q P b U k 1 3 g Z N 8 y 2 W l L 9 o a S 3 Y x k / x 2 t c O + k M P B P s t W B f J w n n 5 P J B 1 D y y Y 5 s A 8 R c O T X m I 0 V G A y V p u Z R H l b z Y l o V U l 5 p 1 v t g w 2 X g 3 0 4 q z a A H M 9 V g 1 X I S q / u F p V S V V X X Y V F V 3 9 a p u i K f f 1 V r f V V h u h f b 6 8 v 5 w v y i f v v 3 r + 9 X H y 1 f N n 1 T / n 1 T / / / u 6 b s + P k i 4 v n 8 e L G k W K g T b H R p t r 0 y W J V l a P F m P N E G N z N V j I Y X 1 4 B Q N + I L c j 9 7 / 8 f U E s D B B Q A A A g I A F h a S F x T c j g s m w A A A O E A A A A T A A A A W 0 N v b n R l b n R f V H l w Z X N d L n h t b G 2 O P Q 7 C M A x G r x J 5 b 1 0 Y E E J N G Y A b c I E o u D + i c a L G R e V s D B y J K 5 C 2 a 0 d / f s + f f 5 9 v e Z 5 c r 1 4 0 x M 6 z h l 1 e g C K 2 / t F x o 2 G U O j v C u S r v 7 0 B R J Z S j h l Y k n B C j b c m Z m P t A n D a 1 H 5 y R N A 4 N B m O f p i H c F 8 U B r W c h l k z m G 1 C V V 6 r N 2 I u 6 T S l e a 5 M O 6 r J y c 5 U G o U l w i X H T c F t 8 6 E 3 H i 4 H L w 9 U f U E s B A h Q D F A A A C A g A W F p I X L G / U E 6 l A A A A 9 g A A A B I A A A A A A A A A A A A A A K S B A A A A A E N v b m Z p Z y 9 Q Y W N r Y W d l L n h t b F B L A Q I U A x Q A A A g I A F h a S F x c Y j J h 1 r A A A I f J B Q A T A A A A A A A A A A A A A A C k g d U A A A B G b 3 J t d W x h c y 9 T Z W N 0 a W 9 u M S 5 t U E s B A h Q D F A A A C A g A W F p I X F N y O C y b A A A A 4 Q A A A B M A A A A A A A A A A A A A A K S B 3 L E A A F t D b 2 5 0 Z W 5 0 X 1 R 5 c G V z X S 5 4 b W x Q S w U G A A A A A A M A A w D C A A A A q L 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B J E D A A A A A A D i k A M A 7 7 u / P D 9 4 b W w g d m V y c 2 l v b j 0 i M S 4 w I i B l b m N v Z G l u Z z 0 i d X R m L T g i P z 4 8 T G 9 j Y W x Q Y W N r Y W d l T W V 0 Y W R h d G F G a W x l I H h t b G 5 z O n h z a T 0 i a H R 0 c D o v L 3 d 3 d y 5 3 M y 5 v c m c v M j A w M S 9 Y T U x T Y 2 h l b W E t a W 5 z d G F u Y 2 U i I H h t b G 5 z O n h z Z D 0 i a H R 0 c D o v L 3 d 3 d y 5 3 M y 5 v c m c v M j A w M S 9 Y T U x T Y 2 h l b W E i P j x J d G V t c z 4 8 S X R l b T 4 8 S X R l b U x v Y 2 F 0 a W 9 u P j x J d G V t V H l w Z T 5 G b 3 J t d W x h P C 9 J d G V t V H l w Z T 4 8 S X R l b V B h d G g + U 2 V j d G l v b j E v R l N E P C 9 J d G V t U G F 0 a D 4 8 L 0 l 0 Z W 1 M b 2 N h d G l v b j 4 8 U 3 R h Y m x l R W 5 0 c m l l c z 4 8 R W 5 0 c n k g V H l w Z T 0 i Q n V m Z m V y T m V 4 d F J l Z n J l c 2 g i I F Z h b H V l P S J s M S I g L z 4 8 R W 5 0 c n k g V H l w Z T 0 i R m l s b E V u Y W J s Z W Q i I F Z h b H V l P S J s M S I g L z 4 8 R W 5 0 c n k g V H l w Z T 0 i R m l s b G V k Q 2 9 t c G x l d G V S Z X N 1 b H R U b 1 d v c m t z a G V l d C I g V m F s d W U 9 I m w x I i A v P j x F b n R y e S B U e X B l P S J G a W x s V G 9 E Y X R h T W 9 k Z W x F b m F i b G V k I i B W Y W x 1 Z T 0 i b D A i I C 8 + P E V u d H J 5 I F R 5 c G U 9 I k l z U H J p d m F 0 Z S I g V m F s d W U 9 I m w w I i A v P j x F b n R y e S B U e X B l P S J R d W V y e U l E I i B W Y W x 1 Z T 0 i c 2 V j M z d h O D B i L W U 3 Y z k t N G Q 3 N i 0 5 O T N k L T B k N W V i N j Q 1 O D M 0 Z i I g L z 4 8 R W 5 0 c n k g V H l w Z T 0 i U m V j b 3 Z l c n l U Y X J n Z X R D b 2 x 1 b W 4 i I F Z h b H V l P S J s M S I g L z 4 8 R W 5 0 c n k g V H l w Z T 0 i U m V j b 3 Z l c n l U Y X J n Z X R S b 3 c i I F Z h b H V l P S J s N i I g L z 4 8 R W 5 0 c n k g V H l w Z T 0 i U m V j b 3 Z l c n l U Y X J n Z X R T a G V l d C I g V m F s d W U 9 I n N G U 0 Q i I C 8 + P E V u d H J 5 I F R 5 c G U 9 I l J l c 3 V s d F R 5 c G U i I F Z h b H V l P S J z V G F i b G U i I C 8 + P E V u d H J 5 I F R 5 c G U 9 I k 5 h d m l n Y X R p b 2 5 T d G V w T m F t Z S I g V m F s d W U 9 I n N O Y X Z p Z 2 F 0 a W U i I C 8 + P E V u d H J 5 I F R 5 c G U 9 I k Z p b G x P Y m p l Y 3 R U e X B l I i B W Y W x 1 Z T 0 i c 1 R h Y m x l I i A v P j x F b n R y e S B U e X B l P S J O Y W 1 l V X B k Y X R l Z E F m d G V y R m l s b C I g V m F s d W U 9 I m w w I i A v P j x F b n R y e S B U e X B l P S J G a W x s V G F y Z 2 V 0 I i B W Y W x 1 Z T 0 i c 0 Z T R C I g L z 4 8 R W 5 0 c n k g V H l w Z T 0 i T G 9 h Z F R v U m V w b 3 J 0 R G l z Y W J s Z W Q i I F Z h b H V l P S J s M C I g L z 4 8 R W 5 0 c n k g V H l w Z T 0 i R m l s b E x h c 3 R V c G R h d G V k I i B W Y W x 1 Z T 0 i Z D I w M j Y t M D I t M D h U M T A 6 M T g 6 M z k u O T E 4 N j I 0 M F o i I C 8 + P E V u d H J 5 I F R 5 c G U 9 I k Z p b G x F c n J v c k N v d W 5 0 I i B W Y W x 1 Z T 0 i b D A i I C 8 + P E V u d H J 5 I F R 5 c G U 9 I k Z p b G x D b 2 x 1 b W 5 U e X B l c y I g V m F s d W U 9 I n N C Z 1 l H Q m d Z R 0 J n W U R B d 0 1 E Q X d N R E F 3 T U R B d 0 1 H Q X d N R E F 3 T U R B d 1 l E Q X d N R E F 3 T U R C Z 1 l H Q X d j S E J n W U d C Z 1 l H Q X d Z R 0 J n W T 0 i I C 8 + P E V u d H J 5 I F R 5 c G U 9 I k Z p b G x F c n J v c k N v Z G U i I F Z h b H V l P S J z V W 5 r b m 9 3 b i I g L z 4 8 R W 5 0 c n k g V H l w Z T 0 i R m l s b E N v d W 5 0 I i B W Y W x 1 Z T 0 i b D M 2 I i A v P j x F b n R y e S B U e X B l P S J G a W x s Q 2 9 s d W 1 u T m F t Z X M i I F Z h b H V l P S J z W y Z x d W 9 0 O 0 t y a W 5 n Z G F n J n F 1 b 3 Q 7 L C Z x d W 9 0 O 1 Z l c i 5 u c i 4 m c X V v d D s s J n F 1 b 3 Q 7 T m F h b S B 2 Z X J l b m l n a W 5 n J n F 1 b 3 Q 7 L C Z x d W 9 0 O 0 R l b G V n Y X R p Z S Z x d W 9 0 O y w m c X V v d D t N d X p p Z W t r b 3 J w c y B 0 a W p k Z W 5 z I G 1 h c n M g Z W 4 g Z G V m a W x c d T A w R T k m c X V v d D s s J n F 1 b 3 Q 7 R G V l b G 5 h b W U g a m V 1 Z 2 R r b 2 5 p b m d z Y 2 h p Z X R l b i Z x d W 9 0 O y w m c X V v d D t N Y W o u I F N l b m l v c m V u I G p 1 c m V y Z W 4 g Y m l q I G 1 h c n M m c X V v d D s s J n F 1 b 3 Q 7 T W F q L i B K Z X V n Z C B q d X J l c m V u I G J p a i B t Y X J z J n F 1 b 3 Q 7 L C Z x d W 9 0 O 0 t v c n B z I H N l b m l v c m V u J n F 1 b 3 Q 7 L C Z x d W 9 0 O 0 p 1 b m l v c m V u I G t v c n B z I D E m c X V v d D s s J n F 1 b 3 Q 7 S n V u a W 9 y Z W 4 g a 2 9 y c H M g M i Z x d W 9 0 O y w m c X V v d D t B c 3 B p c m F u d G V u I G t v c n B z I D E m c X V v d D s s J n F 1 b 3 Q 7 Q X N w a X J h b n R l b i B r b 3 J w c y A y J n F 1 b 3 Q 7 L C Z x d W 9 0 O 0 F j c m 9 i Y X R p c 2 N o I H N l b m l v c m V u J n F 1 b 3 Q 7 L C Z x d W 9 0 O 0 F j c m 9 i Y X R p c 2 N o I G p 1 b m l v c m V u J n F 1 b 3 Q 7 L C Z x d W 9 0 O 0 F j c m 9 i Y X R p c 2 N o I G F z c G l y Y W 5 0 Z W 4 m c X V v d D s s J n F 1 b 3 Q 7 T 3 B n Z X Z l b i B 2 Z W 5 k Z W x p Z X J z I G l u Z C 4 m c X V v d D s s J n F 1 b 3 Q 7 Q W N y b 2 I u I H N l b m l v c m V u I G l u Z G l 2 L i Z x d W 9 0 O y w m c X V v d D t B Y 3 J v Y i 4 g a n V u a W 9 y Z W 4 g a W 5 k a X Y u J n F 1 b 3 Q 7 L C Z x d W 9 0 O 0 F j c m 9 i L i B h c 3 B p c m F u d G V u I G l u Z G l 2 L i Z x d W 9 0 O y w m c X V v d D t E Z W V s b m F t Z S B o b 2 9 m Z G t v c n B z J n F 1 b 3 Q 7 L C Z x d W 9 0 O 0 d y b 2 V w Z W 4 s I H R l Y W 1 z L C B l b n N l b W J s Z X M g Z W 4 g Z H V v X H U w M D I 3 c y Z x d W 9 0 O y w m c X V v d D t B Y W 5 0 Y W w g b 3 B n Z W d l d m V u I G 1 h a m 9 y Z X R 0 Z X M m c X V v d D s s J n F 1 b 3 Q 7 T 3 B n Z X Z l b i B i a W V s Z W 1 h b m 5 l b i Z x d W 9 0 O y w m c X V v d D t T Z W 5 p b 3 J l b i Z x d W 9 0 O y w m c X V v d D t K b 2 5 n I F Z v b H d h c 3 N l b m U m c X V v d D s s J n F 1 b 3 Q 7 S n V u a W 9 y Z W 4 m c X V v d D s s J n F 1 b 3 Q 7 Q X N w a X J h b n R l b i Z x d W 9 0 O y w m c X V v d D t E Z W V s b m F t Z S B t Y X J r Z X R l b n R z d G V y c y Z x d W 9 0 O y w m c X V v d D t B Y W 5 0 Y W w g b H V j a H R n Z X d l Z X J z Y 2 h 1 d H R l c n M m c X V v d D s s J n F 1 b 3 Q 7 Q W F u d G F s I G x 1 Y 2 h 0 c G l z d G 9 v b H N j a H V 0 d G V y c y Z x d W 9 0 O y w m c X V v d D t B Y W 5 0 Y W w g a G F u Z G J v b 2 d z Y 2 h 1 d H R l c n M m c X V v d D s s J n F 1 b 3 Q 7 Q W F u d G F s I G t y d W l z Y m 9 v Z 3 N j a H V 0 d G V y c y Z x d W 9 0 O y w m c X V v d D s o Q W F u d G F s I G p l d W d k a 2 9 y c H N l b i Z x d W 9 0 O y w m c X V v d D t U b 3 R h Y W w g Y W F u d G F s I G R l Z W x u Z W 1 l c n M m c X V v d D s s J n F 1 b 3 Q 7 V 2 F h c n Z h b i B h Y W 5 0 Y W w g a m V 1 Z 2 Q g K H Q v b S A x N S B q Y W F y K S Z x d W 9 0 O y w m c X V v d D t L Y W 5 v b i B l d G M u J n F 1 b 3 Q 7 L C Z x d W 9 0 O 1 B h Y X J k Z W 4 g Z W 4 v b 2 Y g a 2 9 l d H N l b i Z x d W 9 0 O y w m c X V v d D t U b 2 V s a W N o d G l u Z y 9 v c G 1 l c m t p b m d l b i Z x d W 9 0 O y w m c X V v d D t J b n p l b m R p b m c t S U Q m c X V v d D s s J n F 1 b 3 Q 7 S W 5 6 Z W 5 k Z G F 0 d W 0 m c X V v d D s s J n F 1 b 3 Q 7 R G F 0 Z S B V c G R h d G V k J n F 1 b 3 Q 7 L C Z x d W 9 0 O 0 5 h Y W 0 g d m F u I G h l d C B o b 2 9 m Z G t v c n B z J n F 1 b 3 Q 7 L C Z x d W 9 0 O 1 p h b C B v c C B 0 c m V k Z W 4 g Y W x z I C h o b 2 9 m Z G t v c n B z K S Z x d W 9 0 O y w m c X V v d D t W b 3 J t I H Z h b i B 0 d 2 V l I G 1 1 e m l l a 3 d l c m t l b i A o a G 9 v Z m R r b 3 J w c y k m c X V v d D s s J n F 1 b 3 Q 7 W m F s I H V p d G t v b W V u I G l u I G R l O i A o a G 9 v Z m R r b 3 J w c y k m c X V v d D s s J n F 1 b 3 Q 7 T X V 6 a W V r d 2 V y a z E g K G h v b 2 Z k a 2 9 y c H M p J n F 1 b 3 Q 7 L C Z x d W 9 0 O 0 1 1 e m l l a 3 d l c m s y I C h o b 2 9 m Z G t v c n B z K S Z x d W 9 0 O y w m c X V v d D t L b 3 J w c y B i Z X N 0 Y W F 0 I H V p d C A u L i 4 g Z G V l b G 5 l b W V y c y A o a G 9 v Z m R r b 3 J w c y k m c X V v d D s s J n F 1 b 3 Q 7 V 2 9 y Z H Q g Z X I g Z 2 V i c n V p a y B n Z W 1 h Y W t 0 I H Z h b i B t Z W N o Y W 5 p c 2 N o Z S B t d X p p Z W s / J n F 1 b 3 Q 7 L C Z x d W 9 0 O 0 9 u Z G V y Z G V s Z W 4 m c X V v d D s s J n F 1 b 3 Q 7 U 2 V j d G l l c y Z x d W 9 0 O y w m c X V v d D t M Z W V m d G l q Z H N j Y X R l Z 2 9 y a W U m c X V v d D t d I i A v P j x F b n R y e S B U e X B l P S J B Z G R l Z F R v R G F 0 Y U 1 v Z G V s I i B W Y W x 1 Z T 0 i b D A i I C 8 + P E V u d H J 5 I F R 5 c G U 9 I k Z p b G x T d G F 0 d X M i I F Z h b H V l P S J z Q 2 9 t c G x l d G U i I C 8 + P E V u d H J 5 I F R 5 c G U 9 I l J l b G F 0 a W 9 u c 2 h p c E l u Z m 9 D b 2 5 0 Y W l u Z X I i I F Z h b H V l P S J z e y Z x d W 9 0 O 2 N v b H V t b k N v d W 5 0 J n F 1 b 3 Q 7 O j U z L C Z x d W 9 0 O 2 t l e U N v b H V t b k 5 h b W V z J n F 1 b 3 Q 7 O l t d L C Z x d W 9 0 O 3 F 1 Z X J 5 U m V s Y X R p b 2 5 z a G l w c y Z x d W 9 0 O z p b X S w m c X V v d D t j b 2 x 1 b W 5 J Z G V u d G l 0 a W V z J n F 1 b 3 Q 7 O l s m c X V v d D t T Z W N 0 a W 9 u M S 9 G U 0 Q v Q X V 0 b 1 J l b W 9 2 Z W R D b 2 x 1 b W 5 z M S 5 7 S 3 J p b m d k Y W c s M H 0 m c X V v d D s s J n F 1 b 3 Q 7 U 2 V j d G l v b j E v R l N E L 0 F 1 d G 9 S Z W 1 v d m V k Q 2 9 s d W 1 u c z E u e 1 Z l c i 5 u c i 4 s M X 0 m c X V v d D s s J n F 1 b 3 Q 7 U 2 V j d G l v b j E v R l N E L 0 F 1 d G 9 S Z W 1 v d m V k Q 2 9 s d W 1 u c z E u e 0 5 h Y W 0 g d m V y Z W 5 p Z 2 l u Z y w y f S Z x d W 9 0 O y w m c X V v d D t T Z W N 0 a W 9 u M S 9 G U 0 Q v Q X V 0 b 1 J l b W 9 2 Z W R D b 2 x 1 b W 5 z M S 5 7 R G V s Z W d h d G l l L D N 9 J n F 1 b 3 Q 7 L C Z x d W 9 0 O 1 N l Y 3 R p b 2 4 x L 0 Z T R C 9 B d X R v U m V t b 3 Z l Z E N v b H V t b n M x L n t N d X p p Z W t r b 3 J w c y B 0 a W p k Z W 5 z I G 1 h c n M g Z W 4 g Z G V m a W x c d T A w R T k s N H 0 m c X V v d D s s J n F 1 b 3 Q 7 U 2 V j d G l v b j E v R l N E L 0 F 1 d G 9 S Z W 1 v d m V k Q 2 9 s d W 1 u c z E u e 0 R l Z W x u Y W 1 l I G p l d W d k a 2 9 u a W 5 n c 2 N o a W V 0 Z W 4 s N X 0 m c X V v d D s s J n F 1 b 3 Q 7 U 2 V j d G l v b j E v R l N E L 0 F 1 d G 9 S Z W 1 v d m V k Q 2 9 s d W 1 u c z E u e 0 1 h a i 4 g U 2 V u a W 9 y Z W 4 g a n V y Z X J l b i B i a W o g b W F y c y w 2 f S Z x d W 9 0 O y w m c X V v d D t T Z W N 0 a W 9 u M S 9 G U 0 Q v Q X V 0 b 1 J l b W 9 2 Z W R D b 2 x 1 b W 5 z M S 5 7 T W F q L i B K Z X V n Z C B q d X J l c m V u I G J p a i B t Y X J z L D d 9 J n F 1 b 3 Q 7 L C Z x d W 9 0 O 1 N l Y 3 R p b 2 4 x L 0 Z T R C 9 B d X R v U m V t b 3 Z l Z E N v b H V t b n M x L n t L b 3 J w c y B z Z W 5 p b 3 J l b i w 4 f S Z x d W 9 0 O y w m c X V v d D t T Z W N 0 a W 9 u M S 9 G U 0 Q v Q X V 0 b 1 J l b W 9 2 Z W R D b 2 x 1 b W 5 z M S 5 7 S n V u a W 9 y Z W 4 g a 2 9 y c H M g M S w 5 f S Z x d W 9 0 O y w m c X V v d D t T Z W N 0 a W 9 u M S 9 G U 0 Q v Q X V 0 b 1 J l b W 9 2 Z W R D b 2 x 1 b W 5 z M S 5 7 S n V u a W 9 y Z W 4 g a 2 9 y c H M g M i w x M H 0 m c X V v d D s s J n F 1 b 3 Q 7 U 2 V j d G l v b j E v R l N E L 0 F 1 d G 9 S Z W 1 v d m V k Q 2 9 s d W 1 u c z E u e 0 F z c G l y Y W 5 0 Z W 4 g a 2 9 y c H M g M S w x M X 0 m c X V v d D s s J n F 1 b 3 Q 7 U 2 V j d G l v b j E v R l N E L 0 F 1 d G 9 S Z W 1 v d m V k Q 2 9 s d W 1 u c z E u e 0 F z c G l y Y W 5 0 Z W 4 g a 2 9 y c H M g M i w x M n 0 m c X V v d D s s J n F 1 b 3 Q 7 U 2 V j d G l v b j E v R l N E L 0 F 1 d G 9 S Z W 1 v d m V k Q 2 9 s d W 1 u c z E u e 0 F j c m 9 i Y X R p c 2 N o I H N l b m l v c m V u L D E z f S Z x d W 9 0 O y w m c X V v d D t T Z W N 0 a W 9 u M S 9 G U 0 Q v Q X V 0 b 1 J l b W 9 2 Z W R D b 2 x 1 b W 5 z M S 5 7 Q W N y b 2 J h d G l z Y 2 g g a n V u a W 9 y Z W 4 s M T R 9 J n F 1 b 3 Q 7 L C Z x d W 9 0 O 1 N l Y 3 R p b 2 4 x L 0 Z T R C 9 B d X R v U m V t b 3 Z l Z E N v b H V t b n M x L n t B Y 3 J v Y m F 0 a X N j a C B h c 3 B p c m F u d G V u L D E 1 f S Z x d W 9 0 O y w m c X V v d D t T Z W N 0 a W 9 u M S 9 G U 0 Q v Q X V 0 b 1 J l b W 9 2 Z W R D b 2 x 1 b W 5 z M S 5 7 T 3 B n Z X Z l b i B 2 Z W 5 k Z W x p Z X J z I G l u Z C 4 s M T Z 9 J n F 1 b 3 Q 7 L C Z x d W 9 0 O 1 N l Y 3 R p b 2 4 x L 0 Z T R C 9 B d X R v U m V t b 3 Z l Z E N v b H V t b n M x L n t B Y 3 J v Y i 4 g c 2 V u a W 9 y Z W 4 g a W 5 k a X Y u L D E 3 f S Z x d W 9 0 O y w m c X V v d D t T Z W N 0 a W 9 u M S 9 G U 0 Q v Q X V 0 b 1 J l b W 9 2 Z W R D b 2 x 1 b W 5 z M S 5 7 Q W N y b 2 I u I G p 1 b m l v c m V u I G l u Z G l 2 L i w x O H 0 m c X V v d D s s J n F 1 b 3 Q 7 U 2 V j d G l v b j E v R l N E L 0 F 1 d G 9 S Z W 1 v d m V k Q 2 9 s d W 1 u c z E u e 0 F j c m 9 i L i B h c 3 B p c m F u d G V u I G l u Z G l 2 L i w x O X 0 m c X V v d D s s J n F 1 b 3 Q 7 U 2 V j d G l v b j E v R l N E L 0 F 1 d G 9 S Z W 1 v d m V k Q 2 9 s d W 1 u c z E u e 0 R l Z W x u Y W 1 l I G h v b 2 Z k a 2 9 y c H M s M j B 9 J n F 1 b 3 Q 7 L C Z x d W 9 0 O 1 N l Y 3 R p b 2 4 x L 0 Z T R C 9 B d X R v U m V t b 3 Z l Z E N v b H V t b n M x L n t H c m 9 l c G V u L C B 0 Z W F t c y w g Z W 5 z Z W 1 i b G V z I G V u I G R 1 b 1 x 1 M D A y N 3 M s M j F 9 J n F 1 b 3 Q 7 L C Z x d W 9 0 O 1 N l Y 3 R p b 2 4 x L 0 Z T R C 9 B d X R v U m V t b 3 Z l Z E N v b H V t b n M x L n t B Y W 5 0 Y W w g b 3 B n Z W d l d m V u I G 1 h a m 9 y Z X R 0 Z X M s M j J 9 J n F 1 b 3 Q 7 L C Z x d W 9 0 O 1 N l Y 3 R p b 2 4 x L 0 Z T R C 9 B d X R v U m V t b 3 Z l Z E N v b H V t b n M x L n t P c G d l d m V u I G J p Z W x l b W F u b m V u L D I z f S Z x d W 9 0 O y w m c X V v d D t T Z W N 0 a W 9 u M S 9 G U 0 Q v Q X V 0 b 1 J l b W 9 2 Z W R D b 2 x 1 b W 5 z M S 5 7 U 2 V u a W 9 y Z W 4 s M j R 9 J n F 1 b 3 Q 7 L C Z x d W 9 0 O 1 N l Y 3 R p b 2 4 x L 0 Z T R C 9 B d X R v U m V t b 3 Z l Z E N v b H V t b n M x L n t K b 2 5 n I F Z v b H d h c 3 N l b m U s M j V 9 J n F 1 b 3 Q 7 L C Z x d W 9 0 O 1 N l Y 3 R p b 2 4 x L 0 Z T R C 9 B d X R v U m V t b 3 Z l Z E N v b H V t b n M x L n t K d W 5 p b 3 J l b i w y N n 0 m c X V v d D s s J n F 1 b 3 Q 7 U 2 V j d G l v b j E v R l N E L 0 F 1 d G 9 S Z W 1 v d m V k Q 2 9 s d W 1 u c z E u e 0 F z c G l y Y W 5 0 Z W 4 s M j d 9 J n F 1 b 3 Q 7 L C Z x d W 9 0 O 1 N l Y 3 R p b 2 4 x L 0 Z T R C 9 B d X R v U m V t b 3 Z l Z E N v b H V t b n M x L n t E Z W V s b m F t Z S B t Y X J r Z X R l b n R z d G V y c y w y O H 0 m c X V v d D s s J n F 1 b 3 Q 7 U 2 V j d G l v b j E v R l N E L 0 F 1 d G 9 S Z W 1 v d m V k Q 2 9 s d W 1 u c z E u e 0 F h b n R h b C B s d W N o d G d l d 2 V l c n N j a H V 0 d G V y c y w y O X 0 m c X V v d D s s J n F 1 b 3 Q 7 U 2 V j d G l v b j E v R l N E L 0 F 1 d G 9 S Z W 1 v d m V k Q 2 9 s d W 1 u c z E u e 0 F h b n R h b C B s d W N o d H B p c 3 R v b 2 x z Y 2 h 1 d H R l c n M s M z B 9 J n F 1 b 3 Q 7 L C Z x d W 9 0 O 1 N l Y 3 R p b 2 4 x L 0 Z T R C 9 B d X R v U m V t b 3 Z l Z E N v b H V t b n M x L n t B Y W 5 0 Y W w g a G F u Z G J v b 2 d z Y 2 h 1 d H R l c n M s M z F 9 J n F 1 b 3 Q 7 L C Z x d W 9 0 O 1 N l Y 3 R p b 2 4 x L 0 Z T R C 9 B d X R v U m V t b 3 Z l Z E N v b H V t b n M x L n t B Y W 5 0 Y W w g a 3 J 1 a X N i b 2 9 n c 2 N o d X R 0 Z X J z L D M y f S Z x d W 9 0 O y w m c X V v d D t T Z W N 0 a W 9 u M S 9 G U 0 Q v Q X V 0 b 1 J l b W 9 2 Z W R D b 2 x 1 b W 5 z M S 5 7 K E F h b n R h b C B q Z X V n Z G t v c n B z Z W 4 s M z N 9 J n F 1 b 3 Q 7 L C Z x d W 9 0 O 1 N l Y 3 R p b 2 4 x L 0 Z T R C 9 B d X R v U m V t b 3 Z l Z E N v b H V t b n M x L n t U b 3 R h Y W w g Y W F u d G F s I G R l Z W x u Z W 1 l c n M s M z R 9 J n F 1 b 3 Q 7 L C Z x d W 9 0 O 1 N l Y 3 R p b 2 4 x L 0 Z T R C 9 B d X R v U m V t b 3 Z l Z E N v b H V t b n M x L n t X Y W F y d m F u I G F h b n R h b C B q Z X V n Z C A o d C 9 t I D E 1 I G p h Y X I p L D M 1 f S Z x d W 9 0 O y w m c X V v d D t T Z W N 0 a W 9 u M S 9 G U 0 Q v Q X V 0 b 1 J l b W 9 2 Z W R D b 2 x 1 b W 5 z M S 5 7 S 2 F u b 2 4 g Z X R j L i w z N n 0 m c X V v d D s s J n F 1 b 3 Q 7 U 2 V j d G l v b j E v R l N E L 0 F 1 d G 9 S Z W 1 v d m V k Q 2 9 s d W 1 u c z E u e 1 B h Y X J k Z W 4 g Z W 4 v b 2 Y g a 2 9 l d H N l b i w z N 3 0 m c X V v d D s s J n F 1 b 3 Q 7 U 2 V j d G l v b j E v R l N E L 0 F 1 d G 9 S Z W 1 v d m V k Q 2 9 s d W 1 u c z E u e 1 R v Z W x p Y 2 h 0 a W 5 n L 2 9 w b W V y a 2 l u Z 2 V u L D M 4 f S Z x d W 9 0 O y w m c X V v d D t T Z W N 0 a W 9 u M S 9 G U 0 Q v Q X V 0 b 1 J l b W 9 2 Z W R D b 2 x 1 b W 5 z M S 5 7 S W 5 6 Z W 5 k a W 5 n L U l E L D M 5 f S Z x d W 9 0 O y w m c X V v d D t T Z W N 0 a W 9 u M S 9 G U 0 Q v Q X V 0 b 1 J l b W 9 2 Z W R D b 2 x 1 b W 5 z M S 5 7 S W 5 6 Z W 5 k Z G F 0 d W 0 s N D B 9 J n F 1 b 3 Q 7 L C Z x d W 9 0 O 1 N l Y 3 R p b 2 4 x L 0 Z T R C 9 B d X R v U m V t b 3 Z l Z E N v b H V t b n M x L n t E Y X R l I F V w Z G F 0 Z W Q s N D F 9 J n F 1 b 3 Q 7 L C Z x d W 9 0 O 1 N l Y 3 R p b 2 4 x L 0 Z T R C 9 B d X R v U m V t b 3 Z l Z E N v b H V t b n M x L n t O Y W F t I H Z h b i B o Z X Q g a G 9 v Z m R r b 3 J w c y w 0 M n 0 m c X V v d D s s J n F 1 b 3 Q 7 U 2 V j d G l v b j E v R l N E L 0 F 1 d G 9 S Z W 1 v d m V k Q 2 9 s d W 1 u c z E u e 1 p h b C B v c C B 0 c m V k Z W 4 g Y W x z I C h o b 2 9 m Z G t v c n B z K S w 0 M 3 0 m c X V v d D s s J n F 1 b 3 Q 7 U 2 V j d G l v b j E v R l N E L 0 F 1 d G 9 S Z W 1 v d m V k Q 2 9 s d W 1 u c z E u e 1 Z v c m 0 g d m F u I H R 3 Z W U g b X V 6 a W V r d 2 V y a 2 V u I C h o b 2 9 m Z G t v c n B z K S w 0 N H 0 m c X V v d D s s J n F 1 b 3 Q 7 U 2 V j d G l v b j E v R l N E L 0 F 1 d G 9 S Z W 1 v d m V k Q 2 9 s d W 1 u c z E u e 1 p h b C B 1 a X R r b 2 1 l b i B p b i B k Z T o g K G h v b 2 Z k a 2 9 y c H M p L D Q 1 f S Z x d W 9 0 O y w m c X V v d D t T Z W N 0 a W 9 u M S 9 G U 0 Q v Q X V 0 b 1 J l b W 9 2 Z W R D b 2 x 1 b W 5 z M S 5 7 T X V 6 a W V r d 2 V y a z E g K G h v b 2 Z k a 2 9 y c H M p L D Q 2 f S Z x d W 9 0 O y w m c X V v d D t T Z W N 0 a W 9 u M S 9 G U 0 Q v Q X V 0 b 1 J l b W 9 2 Z W R D b 2 x 1 b W 5 z M S 5 7 T X V 6 a W V r d 2 V y a z I g K G h v b 2 Z k a 2 9 y c H M p L D Q 3 f S Z x d W 9 0 O y w m c X V v d D t T Z W N 0 a W 9 u M S 9 G U 0 Q v Q X V 0 b 1 J l b W 9 2 Z W R D b 2 x 1 b W 5 z M S 5 7 S 2 9 y c H M g Y m V z d G F h d C B 1 a X Q g L i 4 u I G R l Z W x u Z W 1 l c n M g K G h v b 2 Z k a 2 9 y c H M p L D Q 4 f S Z x d W 9 0 O y w m c X V v d D t T Z W N 0 a W 9 u M S 9 G U 0 Q v Q X V 0 b 1 J l b W 9 2 Z W R D b 2 x 1 b W 5 z M S 5 7 V 2 9 y Z H Q g Z X I g Z 2 V i c n V p a y B n Z W 1 h Y W t 0 I H Z h b i B t Z W N o Y W 5 p c 2 N o Z S B t d X p p Z W s / L D Q 5 f S Z x d W 9 0 O y w m c X V v d D t T Z W N 0 a W 9 u M S 9 G U 0 Q v Q X V 0 b 1 J l b W 9 2 Z W R D b 2 x 1 b W 5 z M S 5 7 T 2 5 k Z X J k Z W x l b i w 1 M H 0 m c X V v d D s s J n F 1 b 3 Q 7 U 2 V j d G l v b j E v R l N E L 0 F 1 d G 9 S Z W 1 v d m V k Q 2 9 s d W 1 u c z E u e 1 N l Y 3 R p Z X M s N T F 9 J n F 1 b 3 Q 7 L C Z x d W 9 0 O 1 N l Y 3 R p b 2 4 x L 0 Z T R C 9 B d X R v U m V t b 3 Z l Z E N v b H V t b n M x L n t M Z W V m d G l q Z H N j Y X R l Z 2 9 y a W U s N T J 9 J n F 1 b 3 Q 7 X S w m c X V v d D t D b 2 x 1 b W 5 D b 3 V u d C Z x d W 9 0 O z o 1 M y w m c X V v d D t L Z X l D b 2 x 1 b W 5 O Y W 1 l c y Z x d W 9 0 O z p b X S w m c X V v d D t D b 2 x 1 b W 5 J Z G V u d G l 0 a W V z J n F 1 b 3 Q 7 O l s m c X V v d D t T Z W N 0 a W 9 u M S 9 G U 0 Q v Q X V 0 b 1 J l b W 9 2 Z W R D b 2 x 1 b W 5 z M S 5 7 S 3 J p b m d k Y W c s M H 0 m c X V v d D s s J n F 1 b 3 Q 7 U 2 V j d G l v b j E v R l N E L 0 F 1 d G 9 S Z W 1 v d m V k Q 2 9 s d W 1 u c z E u e 1 Z l c i 5 u c i 4 s M X 0 m c X V v d D s s J n F 1 b 3 Q 7 U 2 V j d G l v b j E v R l N E L 0 F 1 d G 9 S Z W 1 v d m V k Q 2 9 s d W 1 u c z E u e 0 5 h Y W 0 g d m V y Z W 5 p Z 2 l u Z y w y f S Z x d W 9 0 O y w m c X V v d D t T Z W N 0 a W 9 u M S 9 G U 0 Q v Q X V 0 b 1 J l b W 9 2 Z W R D b 2 x 1 b W 5 z M S 5 7 R G V s Z W d h d G l l L D N 9 J n F 1 b 3 Q 7 L C Z x d W 9 0 O 1 N l Y 3 R p b 2 4 x L 0 Z T R C 9 B d X R v U m V t b 3 Z l Z E N v b H V t b n M x L n t N d X p p Z W t r b 3 J w c y B 0 a W p k Z W 5 z I G 1 h c n M g Z W 4 g Z G V m a W x c d T A w R T k s N H 0 m c X V v d D s s J n F 1 b 3 Q 7 U 2 V j d G l v b j E v R l N E L 0 F 1 d G 9 S Z W 1 v d m V k Q 2 9 s d W 1 u c z E u e 0 R l Z W x u Y W 1 l I G p l d W d k a 2 9 u a W 5 n c 2 N o a W V 0 Z W 4 s N X 0 m c X V v d D s s J n F 1 b 3 Q 7 U 2 V j d G l v b j E v R l N E L 0 F 1 d G 9 S Z W 1 v d m V k Q 2 9 s d W 1 u c z E u e 0 1 h a i 4 g U 2 V u a W 9 y Z W 4 g a n V y Z X J l b i B i a W o g b W F y c y w 2 f S Z x d W 9 0 O y w m c X V v d D t T Z W N 0 a W 9 u M S 9 G U 0 Q v Q X V 0 b 1 J l b W 9 2 Z W R D b 2 x 1 b W 5 z M S 5 7 T W F q L i B K Z X V n Z C B q d X J l c m V u I G J p a i B t Y X J z L D d 9 J n F 1 b 3 Q 7 L C Z x d W 9 0 O 1 N l Y 3 R p b 2 4 x L 0 Z T R C 9 B d X R v U m V t b 3 Z l Z E N v b H V t b n M x L n t L b 3 J w c y B z Z W 5 p b 3 J l b i w 4 f S Z x d W 9 0 O y w m c X V v d D t T Z W N 0 a W 9 u M S 9 G U 0 Q v Q X V 0 b 1 J l b W 9 2 Z W R D b 2 x 1 b W 5 z M S 5 7 S n V u a W 9 y Z W 4 g a 2 9 y c H M g M S w 5 f S Z x d W 9 0 O y w m c X V v d D t T Z W N 0 a W 9 u M S 9 G U 0 Q v Q X V 0 b 1 J l b W 9 2 Z W R D b 2 x 1 b W 5 z M S 5 7 S n V u a W 9 y Z W 4 g a 2 9 y c H M g M i w x M H 0 m c X V v d D s s J n F 1 b 3 Q 7 U 2 V j d G l v b j E v R l N E L 0 F 1 d G 9 S Z W 1 v d m V k Q 2 9 s d W 1 u c z E u e 0 F z c G l y Y W 5 0 Z W 4 g a 2 9 y c H M g M S w x M X 0 m c X V v d D s s J n F 1 b 3 Q 7 U 2 V j d G l v b j E v R l N E L 0 F 1 d G 9 S Z W 1 v d m V k Q 2 9 s d W 1 u c z E u e 0 F z c G l y Y W 5 0 Z W 4 g a 2 9 y c H M g M i w x M n 0 m c X V v d D s s J n F 1 b 3 Q 7 U 2 V j d G l v b j E v R l N E L 0 F 1 d G 9 S Z W 1 v d m V k Q 2 9 s d W 1 u c z E u e 0 F j c m 9 i Y X R p c 2 N o I H N l b m l v c m V u L D E z f S Z x d W 9 0 O y w m c X V v d D t T Z W N 0 a W 9 u M S 9 G U 0 Q v Q X V 0 b 1 J l b W 9 2 Z W R D b 2 x 1 b W 5 z M S 5 7 Q W N y b 2 J h d G l z Y 2 g g a n V u a W 9 y Z W 4 s M T R 9 J n F 1 b 3 Q 7 L C Z x d W 9 0 O 1 N l Y 3 R p b 2 4 x L 0 Z T R C 9 B d X R v U m V t b 3 Z l Z E N v b H V t b n M x L n t B Y 3 J v Y m F 0 a X N j a C B h c 3 B p c m F u d G V u L D E 1 f S Z x d W 9 0 O y w m c X V v d D t T Z W N 0 a W 9 u M S 9 G U 0 Q v Q X V 0 b 1 J l b W 9 2 Z W R D b 2 x 1 b W 5 z M S 5 7 T 3 B n Z X Z l b i B 2 Z W 5 k Z W x p Z X J z I G l u Z C 4 s M T Z 9 J n F 1 b 3 Q 7 L C Z x d W 9 0 O 1 N l Y 3 R p b 2 4 x L 0 Z T R C 9 B d X R v U m V t b 3 Z l Z E N v b H V t b n M x L n t B Y 3 J v Y i 4 g c 2 V u a W 9 y Z W 4 g a W 5 k a X Y u L D E 3 f S Z x d W 9 0 O y w m c X V v d D t T Z W N 0 a W 9 u M S 9 G U 0 Q v Q X V 0 b 1 J l b W 9 2 Z W R D b 2 x 1 b W 5 z M S 5 7 Q W N y b 2 I u I G p 1 b m l v c m V u I G l u Z G l 2 L i w x O H 0 m c X V v d D s s J n F 1 b 3 Q 7 U 2 V j d G l v b j E v R l N E L 0 F 1 d G 9 S Z W 1 v d m V k Q 2 9 s d W 1 u c z E u e 0 F j c m 9 i L i B h c 3 B p c m F u d G V u I G l u Z G l 2 L i w x O X 0 m c X V v d D s s J n F 1 b 3 Q 7 U 2 V j d G l v b j E v R l N E L 0 F 1 d G 9 S Z W 1 v d m V k Q 2 9 s d W 1 u c z E u e 0 R l Z W x u Y W 1 l I G h v b 2 Z k a 2 9 y c H M s M j B 9 J n F 1 b 3 Q 7 L C Z x d W 9 0 O 1 N l Y 3 R p b 2 4 x L 0 Z T R C 9 B d X R v U m V t b 3 Z l Z E N v b H V t b n M x L n t H c m 9 l c G V u L C B 0 Z W F t c y w g Z W 5 z Z W 1 i b G V z I G V u I G R 1 b 1 x 1 M D A y N 3 M s M j F 9 J n F 1 b 3 Q 7 L C Z x d W 9 0 O 1 N l Y 3 R p b 2 4 x L 0 Z T R C 9 B d X R v U m V t b 3 Z l Z E N v b H V t b n M x L n t B Y W 5 0 Y W w g b 3 B n Z W d l d m V u I G 1 h a m 9 y Z X R 0 Z X M s M j J 9 J n F 1 b 3 Q 7 L C Z x d W 9 0 O 1 N l Y 3 R p b 2 4 x L 0 Z T R C 9 B d X R v U m V t b 3 Z l Z E N v b H V t b n M x L n t P c G d l d m V u I G J p Z W x l b W F u b m V u L D I z f S Z x d W 9 0 O y w m c X V v d D t T Z W N 0 a W 9 u M S 9 G U 0 Q v Q X V 0 b 1 J l b W 9 2 Z W R D b 2 x 1 b W 5 z M S 5 7 U 2 V u a W 9 y Z W 4 s M j R 9 J n F 1 b 3 Q 7 L C Z x d W 9 0 O 1 N l Y 3 R p b 2 4 x L 0 Z T R C 9 B d X R v U m V t b 3 Z l Z E N v b H V t b n M x L n t K b 2 5 n I F Z v b H d h c 3 N l b m U s M j V 9 J n F 1 b 3 Q 7 L C Z x d W 9 0 O 1 N l Y 3 R p b 2 4 x L 0 Z T R C 9 B d X R v U m V t b 3 Z l Z E N v b H V t b n M x L n t K d W 5 p b 3 J l b i w y N n 0 m c X V v d D s s J n F 1 b 3 Q 7 U 2 V j d G l v b j E v R l N E L 0 F 1 d G 9 S Z W 1 v d m V k Q 2 9 s d W 1 u c z E u e 0 F z c G l y Y W 5 0 Z W 4 s M j d 9 J n F 1 b 3 Q 7 L C Z x d W 9 0 O 1 N l Y 3 R p b 2 4 x L 0 Z T R C 9 B d X R v U m V t b 3 Z l Z E N v b H V t b n M x L n t E Z W V s b m F t Z S B t Y X J r Z X R l b n R z d G V y c y w y O H 0 m c X V v d D s s J n F 1 b 3 Q 7 U 2 V j d G l v b j E v R l N E L 0 F 1 d G 9 S Z W 1 v d m V k Q 2 9 s d W 1 u c z E u e 0 F h b n R h b C B s d W N o d G d l d 2 V l c n N j a H V 0 d G V y c y w y O X 0 m c X V v d D s s J n F 1 b 3 Q 7 U 2 V j d G l v b j E v R l N E L 0 F 1 d G 9 S Z W 1 v d m V k Q 2 9 s d W 1 u c z E u e 0 F h b n R h b C B s d W N o d H B p c 3 R v b 2 x z Y 2 h 1 d H R l c n M s M z B 9 J n F 1 b 3 Q 7 L C Z x d W 9 0 O 1 N l Y 3 R p b 2 4 x L 0 Z T R C 9 B d X R v U m V t b 3 Z l Z E N v b H V t b n M x L n t B Y W 5 0 Y W w g a G F u Z G J v b 2 d z Y 2 h 1 d H R l c n M s M z F 9 J n F 1 b 3 Q 7 L C Z x d W 9 0 O 1 N l Y 3 R p b 2 4 x L 0 Z T R C 9 B d X R v U m V t b 3 Z l Z E N v b H V t b n M x L n t B Y W 5 0 Y W w g a 3 J 1 a X N i b 2 9 n c 2 N o d X R 0 Z X J z L D M y f S Z x d W 9 0 O y w m c X V v d D t T Z W N 0 a W 9 u M S 9 G U 0 Q v Q X V 0 b 1 J l b W 9 2 Z W R D b 2 x 1 b W 5 z M S 5 7 K E F h b n R h b C B q Z X V n Z G t v c n B z Z W 4 s M z N 9 J n F 1 b 3 Q 7 L C Z x d W 9 0 O 1 N l Y 3 R p b 2 4 x L 0 Z T R C 9 B d X R v U m V t b 3 Z l Z E N v b H V t b n M x L n t U b 3 R h Y W w g Y W F u d G F s I G R l Z W x u Z W 1 l c n M s M z R 9 J n F 1 b 3 Q 7 L C Z x d W 9 0 O 1 N l Y 3 R p b 2 4 x L 0 Z T R C 9 B d X R v U m V t b 3 Z l Z E N v b H V t b n M x L n t X Y W F y d m F u I G F h b n R h b C B q Z X V n Z C A o d C 9 t I D E 1 I G p h Y X I p L D M 1 f S Z x d W 9 0 O y w m c X V v d D t T Z W N 0 a W 9 u M S 9 G U 0 Q v Q X V 0 b 1 J l b W 9 2 Z W R D b 2 x 1 b W 5 z M S 5 7 S 2 F u b 2 4 g Z X R j L i w z N n 0 m c X V v d D s s J n F 1 b 3 Q 7 U 2 V j d G l v b j E v R l N E L 0 F 1 d G 9 S Z W 1 v d m V k Q 2 9 s d W 1 u c z E u e 1 B h Y X J k Z W 4 g Z W 4 v b 2 Y g a 2 9 l d H N l b i w z N 3 0 m c X V v d D s s J n F 1 b 3 Q 7 U 2 V j d G l v b j E v R l N E L 0 F 1 d G 9 S Z W 1 v d m V k Q 2 9 s d W 1 u c z E u e 1 R v Z W x p Y 2 h 0 a W 5 n L 2 9 w b W V y a 2 l u Z 2 V u L D M 4 f S Z x d W 9 0 O y w m c X V v d D t T Z W N 0 a W 9 u M S 9 G U 0 Q v Q X V 0 b 1 J l b W 9 2 Z W R D b 2 x 1 b W 5 z M S 5 7 S W 5 6 Z W 5 k a W 5 n L U l E L D M 5 f S Z x d W 9 0 O y w m c X V v d D t T Z W N 0 a W 9 u M S 9 G U 0 Q v Q X V 0 b 1 J l b W 9 2 Z W R D b 2 x 1 b W 5 z M S 5 7 S W 5 6 Z W 5 k Z G F 0 d W 0 s N D B 9 J n F 1 b 3 Q 7 L C Z x d W 9 0 O 1 N l Y 3 R p b 2 4 x L 0 Z T R C 9 B d X R v U m V t b 3 Z l Z E N v b H V t b n M x L n t E Y X R l I F V w Z G F 0 Z W Q s N D F 9 J n F 1 b 3 Q 7 L C Z x d W 9 0 O 1 N l Y 3 R p b 2 4 x L 0 Z T R C 9 B d X R v U m V t b 3 Z l Z E N v b H V t b n M x L n t O Y W F t I H Z h b i B o Z X Q g a G 9 v Z m R r b 3 J w c y w 0 M n 0 m c X V v d D s s J n F 1 b 3 Q 7 U 2 V j d G l v b j E v R l N E L 0 F 1 d G 9 S Z W 1 v d m V k Q 2 9 s d W 1 u c z E u e 1 p h b C B v c C B 0 c m V k Z W 4 g Y W x z I C h o b 2 9 m Z G t v c n B z K S w 0 M 3 0 m c X V v d D s s J n F 1 b 3 Q 7 U 2 V j d G l v b j E v R l N E L 0 F 1 d G 9 S Z W 1 v d m V k Q 2 9 s d W 1 u c z E u e 1 Z v c m 0 g d m F u I H R 3 Z W U g b X V 6 a W V r d 2 V y a 2 V u I C h o b 2 9 m Z G t v c n B z K S w 0 N H 0 m c X V v d D s s J n F 1 b 3 Q 7 U 2 V j d G l v b j E v R l N E L 0 F 1 d G 9 S Z W 1 v d m V k Q 2 9 s d W 1 u c z E u e 1 p h b C B 1 a X R r b 2 1 l b i B p b i B k Z T o g K G h v b 2 Z k a 2 9 y c H M p L D Q 1 f S Z x d W 9 0 O y w m c X V v d D t T Z W N 0 a W 9 u M S 9 G U 0 Q v Q X V 0 b 1 J l b W 9 2 Z W R D b 2 x 1 b W 5 z M S 5 7 T X V 6 a W V r d 2 V y a z E g K G h v b 2 Z k a 2 9 y c H M p L D Q 2 f S Z x d W 9 0 O y w m c X V v d D t T Z W N 0 a W 9 u M S 9 G U 0 Q v Q X V 0 b 1 J l b W 9 2 Z W R D b 2 x 1 b W 5 z M S 5 7 T X V 6 a W V r d 2 V y a z I g K G h v b 2 Z k a 2 9 y c H M p L D Q 3 f S Z x d W 9 0 O y w m c X V v d D t T Z W N 0 a W 9 u M S 9 G U 0 Q v Q X V 0 b 1 J l b W 9 2 Z W R D b 2 x 1 b W 5 z M S 5 7 S 2 9 y c H M g Y m V z d G F h d C B 1 a X Q g L i 4 u I G R l Z W x u Z W 1 l c n M g K G h v b 2 Z k a 2 9 y c H M p L D Q 4 f S Z x d W 9 0 O y w m c X V v d D t T Z W N 0 a W 9 u M S 9 G U 0 Q v Q X V 0 b 1 J l b W 9 2 Z W R D b 2 x 1 b W 5 z M S 5 7 V 2 9 y Z H Q g Z X I g Z 2 V i c n V p a y B n Z W 1 h Y W t 0 I H Z h b i B t Z W N o Y W 5 p c 2 N o Z S B t d X p p Z W s / L D Q 5 f S Z x d W 9 0 O y w m c X V v d D t T Z W N 0 a W 9 u M S 9 G U 0 Q v Q X V 0 b 1 J l b W 9 2 Z W R D b 2 x 1 b W 5 z M S 5 7 T 2 5 k Z X J k Z W x l b i w 1 M H 0 m c X V v d D s s J n F 1 b 3 Q 7 U 2 V j d G l v b j E v R l N E L 0 F 1 d G 9 S Z W 1 v d m V k Q 2 9 s d W 1 u c z E u e 1 N l Y 3 R p Z X M s N T F 9 J n F 1 b 3 Q 7 L C Z x d W 9 0 O 1 N l Y 3 R p b 2 4 x L 0 Z T R C 9 B d X R v U m V t b 3 Z l Z E N v b H V t b n M x L n t M Z W V m d G l q Z H N j Y X R l Z 2 9 y a W U s N T J 9 J n F 1 b 3 Q 7 X S w m c X V v d D t S Z W x h d G l v b n N o a X B J b m Z v J n F 1 b 3 Q 7 O l t d f S I g L z 4 8 L 1 N 0 Y W J s Z U V u d H J p Z X M + P C 9 J d G V t P j x J d G V t P j x J d G V t T G 9 j Y X R p b 2 4 + P E l 0 Z W 1 U e X B l P k Z v c m 1 1 b G E 8 L 0 l 0 Z W 1 U e X B l P j x J d G V t U G F 0 a D 5 T Z W N 0 a W 9 u M S 9 L R F J 2 T k I 8 L 0 l 0 Z W 1 Q Y X R o P j w v S X R l b U x v Y 2 F 0 a W 9 u P j x T d G F i b G V F b n R y a W V z P j x F b n R y e S B U e X B l P S J C d W Z m Z X J O Z X h 0 U m V m c m V z a C I g V m F s d W U 9 I m w x I i A v P j x F b n R y e S B U e X B l P S J G a W x s R W 5 h Y m x l Z C I g V m F s d W U 9 I m w x I i A v P j x F b n R y e S B U e X B l P S J G a W x s Z W R D b 2 1 w b G V 0 Z V J l c 3 V s d F R v V 2 9 y a 3 N o Z W V 0 I i B W Y W x 1 Z T 0 i b D E i I C 8 + P E V u d H J 5 I F R 5 c G U 9 I k Z p b G x U b 0 R h d G F N b 2 R l b E V u Y W J s Z W Q i I F Z h b H V l P S J s M C I g L z 4 8 R W 5 0 c n k g V H l w Z T 0 i S X N Q c m l 2 Y X R l I i B W Y W x 1 Z T 0 i b D A i I C 8 + P E V u d H J 5 I F R 5 c G U 9 I l F 1 Z X J 5 S U Q i I F Z h b H V l P S J z N z g 2 N 2 M 5 M T M t Z W R j Z i 0 0 O T I 5 L T k 4 Z m M t Y T A y M D R l Z D M 2 O W F l I i A v P j x F b n R y e S B U e X B l P S J S Z W N v d m V y e V R h c m d l d E N v b H V t b i I g V m F s d W U 9 I m w x I i A v P j x F b n R y e S B U e X B l P S J S Z W N v d m V y e V R h c m d l d F J v d y I g V m F s d W U 9 I m w 2 I i A v P j x F b n R y e S B U e X B l P S J S Z W N v d m V y e V R h c m d l d F N o Z W V 0 I i B W Y W x 1 Z T 0 i c 0 t E U n Z O Q i I g L z 4 8 R W 5 0 c n k g V H l w Z T 0 i U m V z d W x 0 V H l w Z S I g V m F s d W U 9 I n N U Y W J s Z S I g L z 4 8 R W 5 0 c n k g V H l w Z T 0 i T m F 2 a W d h d G l v b l N 0 Z X B O Y W 1 l I i B W Y W x 1 Z T 0 i c 0 5 h d m l n Y X R p Z S I g L z 4 8 R W 5 0 c n k g V H l w Z T 0 i R m l s b E 9 i a m V j d F R 5 c G U i I F Z h b H V l P S J z V G F i b G U i I C 8 + P E V u d H J 5 I F R 5 c G U 9 I k 5 h b W V V c G R h d G V k Q W Z 0 Z X J G a W x s I i B W Y W x 1 Z T 0 i b D A i I C 8 + P E V u d H J 5 I F R 5 c G U 9 I k Z p b G x U Y X J n Z X Q i I F Z h b H V l P S J z S 0 R S d k 5 C I i A v P j x F b n R y e S B U e X B l P S J M b 2 F k Z W R U b 0 F u Y W x 5 c 2 l z U 2 V y d m l j Z X M i I F Z h b H V l P S J s M C I g L z 4 8 R W 5 0 c n k g V H l w Z T 0 i T G 9 h Z F R v U m V w b 3 J 0 R G l z Y W J s Z W Q i I F Z h b H V l P S J s M C I g L z 4 8 R W 5 0 c n k g V H l w Z T 0 i R m l s b E x h c 3 R V c G R h d G V k I i B W Y W x 1 Z T 0 i Z D I w M j Y t M D I t M D h U M T A 6 M T g 6 M z E u O T g x N j I 2 M F o i I C 8 + P E V u d H J 5 I F R 5 c G U 9 I k Z p b G x F c n J v c k N v d W 5 0 I i B W Y W x 1 Z T 0 i b D A i I C 8 + P E V u d H J 5 I F R 5 c G U 9 I k Z p b G x D b 2 x 1 b W 5 U e X B l c y I g V m F s d W U 9 I n N C Z 1 l H Q m d Z R 0 J n W U R B d 0 1 E Q X d N R E F 3 T U R B d 0 1 H Q X d N R E F 3 T U R B d 1 l E Q X d N R E F 3 T U R C Z 1 l H Q m d j S E J n W U d C Z 1 l H Q X d Z R 0 J n W T 0 i I C 8 + P E V u d H J 5 I F R 5 c G U 9 I k Z p b G x F c n J v c k N v Z G U i I F Z h b H V l P S J z V W 5 r b m 9 3 b i I g L z 4 8 R W 5 0 c n k g V H l w Z T 0 i R m l s b E N v d W 5 0 I i B W Y W x 1 Z T 0 i b D E y I i A v P j x F b n R y e S B U e X B l P S J G a W x s Q 2 9 s d W 1 u T m F t Z X M i I F Z h b H V l P S J z W y Z x d W 9 0 O 0 t y a W 5 n Z G F n J n F 1 b 3 Q 7 L C Z x d W 9 0 O 1 Z l c i 5 u c i 4 m c X V v d D s s J n F 1 b 3 Q 7 T m F h b S B 2 Z X J l b m l n a W 5 n J n F 1 b 3 Q 7 L C Z x d W 9 0 O 0 R l b G V n Y X R p Z S Z x d W 9 0 O y w m c X V v d D t N d X p p Z W t r b 3 J w c y B 0 a W p k Z W 5 z I G 1 h c n M g Z W 4 g Z G V m a W x c d T A w R T k m c X V v d D s s J n F 1 b 3 Q 7 R G V l b G 5 h b W U g a m V 1 Z 2 R r b 2 5 p b m d z Y 2 h p Z X R l b i Z x d W 9 0 O y w m c X V v d D t N Y W o u I F N l b m l v c m V u I G p 1 c m V y Z W 4 g Y m l q I G 1 h c n M m c X V v d D s s J n F 1 b 3 Q 7 T W F q L i B K Z X V n Z C B q d X J l c m V u I G J p a i B t Y X J z J n F 1 b 3 Q 7 L C Z x d W 9 0 O 0 t v c n B z I H N l b m l v c m V u J n F 1 b 3 Q 7 L C Z x d W 9 0 O 0 p 1 b m l v c m V u I G t v c n B z I D E m c X V v d D s s J n F 1 b 3 Q 7 S n V u a W 9 y Z W 4 g a 2 9 y c H M g M i Z x d W 9 0 O y w m c X V v d D t B c 3 B p c m F u d G V u I G t v c n B z I D E m c X V v d D s s J n F 1 b 3 Q 7 Q X N w a X J h b n R l b i B r b 3 J w c y A y J n F 1 b 3 Q 7 L C Z x d W 9 0 O 0 F j c m 9 i Y X R p c 2 N o I H N l b m l v c m V u J n F 1 b 3 Q 7 L C Z x d W 9 0 O 0 F j c m 9 i Y X R p c 2 N o I G p 1 b m l v c m V u J n F 1 b 3 Q 7 L C Z x d W 9 0 O 0 F j c m 9 i Y X R p c 2 N o I G F z c G l y Y W 5 0 Z W 4 m c X V v d D s s J n F 1 b 3 Q 7 T 3 B n Z X Z l b i B 2 Z W 5 k Z W x p Z X J z I G l u Z C 4 m c X V v d D s s J n F 1 b 3 Q 7 Q W N y b 2 I u I H N l b m l v c m V u I G l u Z G l 2 L i Z x d W 9 0 O y w m c X V v d D t B Y 3 J v Y i 4 g a n V u a W 9 y Z W 4 g a W 5 k a X Y u J n F 1 b 3 Q 7 L C Z x d W 9 0 O 0 F j c m 9 i L i B h c 3 B p c m F u d G V u I G l u Z G l 2 L i Z x d W 9 0 O y w m c X V v d D t E Z W V s b m F t Z S B o b 2 9 m Z G t v c n B z J n F 1 b 3 Q 7 L C Z x d W 9 0 O 0 d y b 2 V w Z W 4 s I H R l Y W 1 z L C B l b n N l b W J s Z X M g Z W 4 g Z H V v X H U w M D I 3 c y Z x d W 9 0 O y w m c X V v d D t B Y W 5 0 Y W w g b 3 B n Z W d l d m V u I G 1 h a m 9 y Z X R 0 Z X M m c X V v d D s s J n F 1 b 3 Q 7 T 3 B n Z X Z l b i B i a W V s Z W 1 h b m 5 l b i Z x d W 9 0 O y w m c X V v d D t T Z W 5 p b 3 J l b i Z x d W 9 0 O y w m c X V v d D t K b 2 5 n I F Z v b H d h c 3 N l b m U m c X V v d D s s J n F 1 b 3 Q 7 S n V u a W 9 y Z W 4 m c X V v d D s s J n F 1 b 3 Q 7 Q X N w a X J h b n R l b i Z x d W 9 0 O y w m c X V v d D t E Z W V s b m F t Z S B t Y X J r Z X R l b n R z d G V y c y Z x d W 9 0 O y w m c X V v d D t B Y W 5 0 Y W w g b H V j a H R n Z X d l Z X J z Y 2 h 1 d H R l c n M m c X V v d D s s J n F 1 b 3 Q 7 Q W F u d G F s I G x 1 Y 2 h 0 c G l z d G 9 v b H N j a H V 0 d G V y c y Z x d W 9 0 O y w m c X V v d D t B Y W 5 0 Y W w g a G F u Z G J v b 2 d z Y 2 h 1 d H R l c n M m c X V v d D s s J n F 1 b 3 Q 7 Q W F u d G F s I G t y d W l z Y m 9 v Z 3 N j a H V 0 d G V y c y Z x d W 9 0 O y w m c X V v d D s o Q W F u d G F s I G p l d W d k a 2 9 y c H N l b i Z x d W 9 0 O y w m c X V v d D t U b 3 R h Y W w g Y W F u d G F s I G R l Z W x u Z W 1 l c n M m c X V v d D s s J n F 1 b 3 Q 7 V 2 F h c n Z h b i B h Y W 5 0 Y W w g a m V 1 Z 2 Q g K H Q v b S A x N S B q Y W F y K S Z x d W 9 0 O y w m c X V v d D t L Y W 5 v b i B l d G M u J n F 1 b 3 Q 7 L C Z x d W 9 0 O 1 B h Y X J k Z W 4 g Z W 4 v b 2 Y g a 2 9 l d H N l b i Z x d W 9 0 O y w m c X V v d D t U b 2 V s a W N o d G l u Z y 9 v c G 1 l c m t p b m d l b i Z x d W 9 0 O y w m c X V v d D t J b n p l b m R p b m c t S U Q m c X V v d D s s J n F 1 b 3 Q 7 S W 5 6 Z W 5 k Z G F 0 d W 0 m c X V v d D s s J n F 1 b 3 Q 7 R G F 0 Z S B V c G R h d G V k J n F 1 b 3 Q 7 L C Z x d W 9 0 O 0 5 h Y W 0 g d m F u I G h l d C B o b 2 9 m Z G t v c n B z J n F 1 b 3 Q 7 L C Z x d W 9 0 O 1 p h b C B v c C B 0 c m V k Z W 4 g Y W x z I C h o b 2 9 m Z G t v c n B z K S Z x d W 9 0 O y w m c X V v d D t W b 3 J t I H Z h b i B 0 d 2 V l I G 1 1 e m l l a 3 d l c m t l b i A o a G 9 v Z m R r b 3 J w c y k m c X V v d D s s J n F 1 b 3 Q 7 W m F s I H V p d G t v b W V u I G l u I G R l O i A o a G 9 v Z m R r b 3 J w c y k m c X V v d D s s J n F 1 b 3 Q 7 T X V 6 a W V r d 2 V y a z E g K G h v b 2 Z k a 2 9 y c H M p J n F 1 b 3 Q 7 L C Z x d W 9 0 O 0 1 1 e m l l a 3 d l c m s y I C h o b 2 9 m Z G t v c n B z K S Z x d W 9 0 O y w m c X V v d D t L b 3 J w c y B i Z X N 0 Y W F 0 I H V p d C A u L i 4 g Z G V l b G 5 l b W V y c y A o a G 9 v Z m R r b 3 J w c y k m c X V v d D s s J n F 1 b 3 Q 7 V 2 9 y Z H Q g Z X I g Z 2 V i c n V p a y B n Z W 1 h Y W t 0 I H Z h b i B t Z W N o Y W 5 p c 2 N o Z S B t d X p p Z W s / J n F 1 b 3 Q 7 L C Z x d W 9 0 O 0 9 u Z G V y Z G V s Z W 4 m c X V v d D s s J n F 1 b 3 Q 7 U 2 V j d G l l c y Z x d W 9 0 O y w m c X V v d D t M Z W V m d G l q Z H N j Y X R l Z 2 9 y a W U m c X V v d D t d I i A v P j x F b n R y e S B U e X B l P S J B Z G R l Z F R v R G F 0 Y U 1 v Z G V s I i B W Y W x 1 Z T 0 i b D A i I C 8 + P E V u d H J 5 I F R 5 c G U 9 I k Z p b G x T d G F 0 d X M i I F Z h b H V l P S J z Q 2 9 t c G x l d G U i I C 8 + P E V u d H J 5 I F R 5 c G U 9 I l J l b G F 0 a W 9 u c 2 h p c E l u Z m 9 D b 2 5 0 Y W l u Z X I i I F Z h b H V l P S J z e y Z x d W 9 0 O 2 N v b H V t b k N v d W 5 0 J n F 1 b 3 Q 7 O j U z L C Z x d W 9 0 O 2 t l e U N v b H V t b k 5 h b W V z J n F 1 b 3 Q 7 O l t d L C Z x d W 9 0 O 3 F 1 Z X J 5 U m V s Y X R p b 2 5 z a G l w c y Z x d W 9 0 O z p b X S w m c X V v d D t j b 2 x 1 b W 5 J Z G V u d G l 0 a W V z J n F 1 b 3 Q 7 O l s m c X V v d D t T Z W N 0 a W 9 u M S 9 L R F J 2 T k I v Q X V 0 b 1 J l b W 9 2 Z W R D b 2 x 1 b W 5 z M S 5 7 S 3 J p b m d k Y W c s M H 0 m c X V v d D s s J n F 1 b 3 Q 7 U 2 V j d G l v b j E v S 0 R S d k 5 C L 0 F 1 d G 9 S Z W 1 v d m V k Q 2 9 s d W 1 u c z E u e 1 Z l c i 5 u c i 4 s M X 0 m c X V v d D s s J n F 1 b 3 Q 7 U 2 V j d G l v b j E v S 0 R S d k 5 C L 0 F 1 d G 9 S Z W 1 v d m V k Q 2 9 s d W 1 u c z E u e 0 5 h Y W 0 g d m V y Z W 5 p Z 2 l u Z y w y f S Z x d W 9 0 O y w m c X V v d D t T Z W N 0 a W 9 u M S 9 L R F J 2 T k I v Q X V 0 b 1 J l b W 9 2 Z W R D b 2 x 1 b W 5 z M S 5 7 R G V s Z W d h d G l l L D N 9 J n F 1 b 3 Q 7 L C Z x d W 9 0 O 1 N l Y 3 R p b 2 4 x L 0 t E U n Z O Q i 9 B d X R v U m V t b 3 Z l Z E N v b H V t b n M x L n t N d X p p Z W t r b 3 J w c y B 0 a W p k Z W 5 z I G 1 h c n M g Z W 4 g Z G V m a W x c d T A w R T k s N H 0 m c X V v d D s s J n F 1 b 3 Q 7 U 2 V j d G l v b j E v S 0 R S d k 5 C L 0 F 1 d G 9 S Z W 1 v d m V k Q 2 9 s d W 1 u c z E u e 0 R l Z W x u Y W 1 l I G p l d W d k a 2 9 u a W 5 n c 2 N o a W V 0 Z W 4 s N X 0 m c X V v d D s s J n F 1 b 3 Q 7 U 2 V j d G l v b j E v S 0 R S d k 5 C L 0 F 1 d G 9 S Z W 1 v d m V k Q 2 9 s d W 1 u c z E u e 0 1 h a i 4 g U 2 V u a W 9 y Z W 4 g a n V y Z X J l b i B i a W o g b W F y c y w 2 f S Z x d W 9 0 O y w m c X V v d D t T Z W N 0 a W 9 u M S 9 L R F J 2 T k I v Q X V 0 b 1 J l b W 9 2 Z W R D b 2 x 1 b W 5 z M S 5 7 T W F q L i B K Z X V n Z C B q d X J l c m V u I G J p a i B t Y X J z L D d 9 J n F 1 b 3 Q 7 L C Z x d W 9 0 O 1 N l Y 3 R p b 2 4 x L 0 t E U n Z O Q i 9 B d X R v U m V t b 3 Z l Z E N v b H V t b n M x L n t L b 3 J w c y B z Z W 5 p b 3 J l b i w 4 f S Z x d W 9 0 O y w m c X V v d D t T Z W N 0 a W 9 u M S 9 L R F J 2 T k I v Q X V 0 b 1 J l b W 9 2 Z W R D b 2 x 1 b W 5 z M S 5 7 S n V u a W 9 y Z W 4 g a 2 9 y c H M g M S w 5 f S Z x d W 9 0 O y w m c X V v d D t T Z W N 0 a W 9 u M S 9 L R F J 2 T k I v Q X V 0 b 1 J l b W 9 2 Z W R D b 2 x 1 b W 5 z M S 5 7 S n V u a W 9 y Z W 4 g a 2 9 y c H M g M i w x M H 0 m c X V v d D s s J n F 1 b 3 Q 7 U 2 V j d G l v b j E v S 0 R S d k 5 C L 0 F 1 d G 9 S Z W 1 v d m V k Q 2 9 s d W 1 u c z E u e 0 F z c G l y Y W 5 0 Z W 4 g a 2 9 y c H M g M S w x M X 0 m c X V v d D s s J n F 1 b 3 Q 7 U 2 V j d G l v b j E v S 0 R S d k 5 C L 0 F 1 d G 9 S Z W 1 v d m V k Q 2 9 s d W 1 u c z E u e 0 F z c G l y Y W 5 0 Z W 4 g a 2 9 y c H M g M i w x M n 0 m c X V v d D s s J n F 1 b 3 Q 7 U 2 V j d G l v b j E v S 0 R S d k 5 C L 0 F 1 d G 9 S Z W 1 v d m V k Q 2 9 s d W 1 u c z E u e 0 F j c m 9 i Y X R p c 2 N o I H N l b m l v c m V u L D E z f S Z x d W 9 0 O y w m c X V v d D t T Z W N 0 a W 9 u M S 9 L R F J 2 T k I v Q X V 0 b 1 J l b W 9 2 Z W R D b 2 x 1 b W 5 z M S 5 7 Q W N y b 2 J h d G l z Y 2 g g a n V u a W 9 y Z W 4 s M T R 9 J n F 1 b 3 Q 7 L C Z x d W 9 0 O 1 N l Y 3 R p b 2 4 x L 0 t E U n Z O Q i 9 B d X R v U m V t b 3 Z l Z E N v b H V t b n M x L n t B Y 3 J v Y m F 0 a X N j a C B h c 3 B p c m F u d G V u L D E 1 f S Z x d W 9 0 O y w m c X V v d D t T Z W N 0 a W 9 u M S 9 L R F J 2 T k I v Q X V 0 b 1 J l b W 9 2 Z W R D b 2 x 1 b W 5 z M S 5 7 T 3 B n Z X Z l b i B 2 Z W 5 k Z W x p Z X J z I G l u Z C 4 s M T Z 9 J n F 1 b 3 Q 7 L C Z x d W 9 0 O 1 N l Y 3 R p b 2 4 x L 0 t E U n Z O Q i 9 B d X R v U m V t b 3 Z l Z E N v b H V t b n M x L n t B Y 3 J v Y i 4 g c 2 V u a W 9 y Z W 4 g a W 5 k a X Y u L D E 3 f S Z x d W 9 0 O y w m c X V v d D t T Z W N 0 a W 9 u M S 9 L R F J 2 T k I v Q X V 0 b 1 J l b W 9 2 Z W R D b 2 x 1 b W 5 z M S 5 7 Q W N y b 2 I u I G p 1 b m l v c m V u I G l u Z G l 2 L i w x O H 0 m c X V v d D s s J n F 1 b 3 Q 7 U 2 V j d G l v b j E v S 0 R S d k 5 C L 0 F 1 d G 9 S Z W 1 v d m V k Q 2 9 s d W 1 u c z E u e 0 F j c m 9 i L i B h c 3 B p c m F u d G V u I G l u Z G l 2 L i w x O X 0 m c X V v d D s s J n F 1 b 3 Q 7 U 2 V j d G l v b j E v S 0 R S d k 5 C L 0 F 1 d G 9 S Z W 1 v d m V k Q 2 9 s d W 1 u c z E u e 0 R l Z W x u Y W 1 l I G h v b 2 Z k a 2 9 y c H M s M j B 9 J n F 1 b 3 Q 7 L C Z x d W 9 0 O 1 N l Y 3 R p b 2 4 x L 0 t E U n Z O Q i 9 B d X R v U m V t b 3 Z l Z E N v b H V t b n M x L n t H c m 9 l c G V u L C B 0 Z W F t c y w g Z W 5 z Z W 1 i b G V z I G V u I G R 1 b 1 x 1 M D A y N 3 M s M j F 9 J n F 1 b 3 Q 7 L C Z x d W 9 0 O 1 N l Y 3 R p b 2 4 x L 0 t E U n Z O Q i 9 B d X R v U m V t b 3 Z l Z E N v b H V t b n M x L n t B Y W 5 0 Y W w g b 3 B n Z W d l d m V u I G 1 h a m 9 y Z X R 0 Z X M s M j J 9 J n F 1 b 3 Q 7 L C Z x d W 9 0 O 1 N l Y 3 R p b 2 4 x L 0 t E U n Z O Q i 9 B d X R v U m V t b 3 Z l Z E N v b H V t b n M x L n t P c G d l d m V u I G J p Z W x l b W F u b m V u L D I z f S Z x d W 9 0 O y w m c X V v d D t T Z W N 0 a W 9 u M S 9 L R F J 2 T k I v Q X V 0 b 1 J l b W 9 2 Z W R D b 2 x 1 b W 5 z M S 5 7 U 2 V u a W 9 y Z W 4 s M j R 9 J n F 1 b 3 Q 7 L C Z x d W 9 0 O 1 N l Y 3 R p b 2 4 x L 0 t E U n Z O Q i 9 B d X R v U m V t b 3 Z l Z E N v b H V t b n M x L n t K b 2 5 n I F Z v b H d h c 3 N l b m U s M j V 9 J n F 1 b 3 Q 7 L C Z x d W 9 0 O 1 N l Y 3 R p b 2 4 x L 0 t E U n Z O Q i 9 B d X R v U m V t b 3 Z l Z E N v b H V t b n M x L n t K d W 5 p b 3 J l b i w y N n 0 m c X V v d D s s J n F 1 b 3 Q 7 U 2 V j d G l v b j E v S 0 R S d k 5 C L 0 F 1 d G 9 S Z W 1 v d m V k Q 2 9 s d W 1 u c z E u e 0 F z c G l y Y W 5 0 Z W 4 s M j d 9 J n F 1 b 3 Q 7 L C Z x d W 9 0 O 1 N l Y 3 R p b 2 4 x L 0 t E U n Z O Q i 9 B d X R v U m V t b 3 Z l Z E N v b H V t b n M x L n t E Z W V s b m F t Z S B t Y X J r Z X R l b n R z d G V y c y w y O H 0 m c X V v d D s s J n F 1 b 3 Q 7 U 2 V j d G l v b j E v S 0 R S d k 5 C L 0 F 1 d G 9 S Z W 1 v d m V k Q 2 9 s d W 1 u c z E u e 0 F h b n R h b C B s d W N o d G d l d 2 V l c n N j a H V 0 d G V y c y w y O X 0 m c X V v d D s s J n F 1 b 3 Q 7 U 2 V j d G l v b j E v S 0 R S d k 5 C L 0 F 1 d G 9 S Z W 1 v d m V k Q 2 9 s d W 1 u c z E u e 0 F h b n R h b C B s d W N o d H B p c 3 R v b 2 x z Y 2 h 1 d H R l c n M s M z B 9 J n F 1 b 3 Q 7 L C Z x d W 9 0 O 1 N l Y 3 R p b 2 4 x L 0 t E U n Z O Q i 9 B d X R v U m V t b 3 Z l Z E N v b H V t b n M x L n t B Y W 5 0 Y W w g a G F u Z G J v b 2 d z Y 2 h 1 d H R l c n M s M z F 9 J n F 1 b 3 Q 7 L C Z x d W 9 0 O 1 N l Y 3 R p b 2 4 x L 0 t E U n Z O Q i 9 B d X R v U m V t b 3 Z l Z E N v b H V t b n M x L n t B Y W 5 0 Y W w g a 3 J 1 a X N i b 2 9 n c 2 N o d X R 0 Z X J z L D M y f S Z x d W 9 0 O y w m c X V v d D t T Z W N 0 a W 9 u M S 9 L R F J 2 T k I v Q X V 0 b 1 J l b W 9 2 Z W R D b 2 x 1 b W 5 z M S 5 7 K E F h b n R h b C B q Z X V n Z G t v c n B z Z W 4 s M z N 9 J n F 1 b 3 Q 7 L C Z x d W 9 0 O 1 N l Y 3 R p b 2 4 x L 0 t E U n Z O Q i 9 B d X R v U m V t b 3 Z l Z E N v b H V t b n M x L n t U b 3 R h Y W w g Y W F u d G F s I G R l Z W x u Z W 1 l c n M s M z R 9 J n F 1 b 3 Q 7 L C Z x d W 9 0 O 1 N l Y 3 R p b 2 4 x L 0 t E U n Z O Q i 9 B d X R v U m V t b 3 Z l Z E N v b H V t b n M x L n t X Y W F y d m F u I G F h b n R h b C B q Z X V n Z C A o d C 9 t I D E 1 I G p h Y X I p L D M 1 f S Z x d W 9 0 O y w m c X V v d D t T Z W N 0 a W 9 u M S 9 L R F J 2 T k I v Q X V 0 b 1 J l b W 9 2 Z W R D b 2 x 1 b W 5 z M S 5 7 S 2 F u b 2 4 g Z X R j L i w z N n 0 m c X V v d D s s J n F 1 b 3 Q 7 U 2 V j d G l v b j E v S 0 R S d k 5 C L 0 F 1 d G 9 S Z W 1 v d m V k Q 2 9 s d W 1 u c z E u e 1 B h Y X J k Z W 4 g Z W 4 v b 2 Y g a 2 9 l d H N l b i w z N 3 0 m c X V v d D s s J n F 1 b 3 Q 7 U 2 V j d G l v b j E v S 0 R S d k 5 C L 0 F 1 d G 9 S Z W 1 v d m V k Q 2 9 s d W 1 u c z E u e 1 R v Z W x p Y 2 h 0 a W 5 n L 2 9 w b W V y a 2 l u Z 2 V u L D M 4 f S Z x d W 9 0 O y w m c X V v d D t T Z W N 0 a W 9 u M S 9 L R F J 2 T k I v Q X V 0 b 1 J l b W 9 2 Z W R D b 2 x 1 b W 5 z M S 5 7 S W 5 6 Z W 5 k a W 5 n L U l E L D M 5 f S Z x d W 9 0 O y w m c X V v d D t T Z W N 0 a W 9 u M S 9 L R F J 2 T k I v Q X V 0 b 1 J l b W 9 2 Z W R D b 2 x 1 b W 5 z M S 5 7 S W 5 6 Z W 5 k Z G F 0 d W 0 s N D B 9 J n F 1 b 3 Q 7 L C Z x d W 9 0 O 1 N l Y 3 R p b 2 4 x L 0 t E U n Z O Q i 9 B d X R v U m V t b 3 Z l Z E N v b H V t b n M x L n t E Y X R l I F V w Z G F 0 Z W Q s N D F 9 J n F 1 b 3 Q 7 L C Z x d W 9 0 O 1 N l Y 3 R p b 2 4 x L 0 t E U n Z O Q i 9 B d X R v U m V t b 3 Z l Z E N v b H V t b n M x L n t O Y W F t I H Z h b i B o Z X Q g a G 9 v Z m R r b 3 J w c y w 0 M n 0 m c X V v d D s s J n F 1 b 3 Q 7 U 2 V j d G l v b j E v S 0 R S d k 5 C L 0 F 1 d G 9 S Z W 1 v d m V k Q 2 9 s d W 1 u c z E u e 1 p h b C B v c C B 0 c m V k Z W 4 g Y W x z I C h o b 2 9 m Z G t v c n B z K S w 0 M 3 0 m c X V v d D s s J n F 1 b 3 Q 7 U 2 V j d G l v b j E v S 0 R S d k 5 C L 0 F 1 d G 9 S Z W 1 v d m V k Q 2 9 s d W 1 u c z E u e 1 Z v c m 0 g d m F u I H R 3 Z W U g b X V 6 a W V r d 2 V y a 2 V u I C h o b 2 9 m Z G t v c n B z K S w 0 N H 0 m c X V v d D s s J n F 1 b 3 Q 7 U 2 V j d G l v b j E v S 0 R S d k 5 C L 0 F 1 d G 9 S Z W 1 v d m V k Q 2 9 s d W 1 u c z E u e 1 p h b C B 1 a X R r b 2 1 l b i B p b i B k Z T o g K G h v b 2 Z k a 2 9 y c H M p L D Q 1 f S Z x d W 9 0 O y w m c X V v d D t T Z W N 0 a W 9 u M S 9 L R F J 2 T k I v Q X V 0 b 1 J l b W 9 2 Z W R D b 2 x 1 b W 5 z M S 5 7 T X V 6 a W V r d 2 V y a z E g K G h v b 2 Z k a 2 9 y c H M p L D Q 2 f S Z x d W 9 0 O y w m c X V v d D t T Z W N 0 a W 9 u M S 9 L R F J 2 T k I v Q X V 0 b 1 J l b W 9 2 Z W R D b 2 x 1 b W 5 z M S 5 7 T X V 6 a W V r d 2 V y a z I g K G h v b 2 Z k a 2 9 y c H M p L D Q 3 f S Z x d W 9 0 O y w m c X V v d D t T Z W N 0 a W 9 u M S 9 L R F J 2 T k I v Q X V 0 b 1 J l b W 9 2 Z W R D b 2 x 1 b W 5 z M S 5 7 S 2 9 y c H M g Y m V z d G F h d C B 1 a X Q g L i 4 u I G R l Z W x u Z W 1 l c n M g K G h v b 2 Z k a 2 9 y c H M p L D Q 4 f S Z x d W 9 0 O y w m c X V v d D t T Z W N 0 a W 9 u M S 9 L R F J 2 T k I v Q X V 0 b 1 J l b W 9 2 Z W R D b 2 x 1 b W 5 z M S 5 7 V 2 9 y Z H Q g Z X I g Z 2 V i c n V p a y B n Z W 1 h Y W t 0 I H Z h b i B t Z W N o Y W 5 p c 2 N o Z S B t d X p p Z W s / L D Q 5 f S Z x d W 9 0 O y w m c X V v d D t T Z W N 0 a W 9 u M S 9 L R F J 2 T k I v Q X V 0 b 1 J l b W 9 2 Z W R D b 2 x 1 b W 5 z M S 5 7 T 2 5 k Z X J k Z W x l b i w 1 M H 0 m c X V v d D s s J n F 1 b 3 Q 7 U 2 V j d G l v b j E v S 0 R S d k 5 C L 0 F 1 d G 9 S Z W 1 v d m V k Q 2 9 s d W 1 u c z E u e 1 N l Y 3 R p Z X M s N T F 9 J n F 1 b 3 Q 7 L C Z x d W 9 0 O 1 N l Y 3 R p b 2 4 x L 0 t E U n Z O Q i 9 B d X R v U m V t b 3 Z l Z E N v b H V t b n M x L n t M Z W V m d G l q Z H N j Y X R l Z 2 9 y a W U s N T J 9 J n F 1 b 3 Q 7 X S w m c X V v d D t D b 2 x 1 b W 5 D b 3 V u d C Z x d W 9 0 O z o 1 M y w m c X V v d D t L Z X l D b 2 x 1 b W 5 O Y W 1 l c y Z x d W 9 0 O z p b X S w m c X V v d D t D b 2 x 1 b W 5 J Z G V u d G l 0 a W V z J n F 1 b 3 Q 7 O l s m c X V v d D t T Z W N 0 a W 9 u M S 9 L R F J 2 T k I v Q X V 0 b 1 J l b W 9 2 Z W R D b 2 x 1 b W 5 z M S 5 7 S 3 J p b m d k Y W c s M H 0 m c X V v d D s s J n F 1 b 3 Q 7 U 2 V j d G l v b j E v S 0 R S d k 5 C L 0 F 1 d G 9 S Z W 1 v d m V k Q 2 9 s d W 1 u c z E u e 1 Z l c i 5 u c i 4 s M X 0 m c X V v d D s s J n F 1 b 3 Q 7 U 2 V j d G l v b j E v S 0 R S d k 5 C L 0 F 1 d G 9 S Z W 1 v d m V k Q 2 9 s d W 1 u c z E u e 0 5 h Y W 0 g d m V y Z W 5 p Z 2 l u Z y w y f S Z x d W 9 0 O y w m c X V v d D t T Z W N 0 a W 9 u M S 9 L R F J 2 T k I v Q X V 0 b 1 J l b W 9 2 Z W R D b 2 x 1 b W 5 z M S 5 7 R G V s Z W d h d G l l L D N 9 J n F 1 b 3 Q 7 L C Z x d W 9 0 O 1 N l Y 3 R p b 2 4 x L 0 t E U n Z O Q i 9 B d X R v U m V t b 3 Z l Z E N v b H V t b n M x L n t N d X p p Z W t r b 3 J w c y B 0 a W p k Z W 5 z I G 1 h c n M g Z W 4 g Z G V m a W x c d T A w R T k s N H 0 m c X V v d D s s J n F 1 b 3 Q 7 U 2 V j d G l v b j E v S 0 R S d k 5 C L 0 F 1 d G 9 S Z W 1 v d m V k Q 2 9 s d W 1 u c z E u e 0 R l Z W x u Y W 1 l I G p l d W d k a 2 9 u a W 5 n c 2 N o a W V 0 Z W 4 s N X 0 m c X V v d D s s J n F 1 b 3 Q 7 U 2 V j d G l v b j E v S 0 R S d k 5 C L 0 F 1 d G 9 S Z W 1 v d m V k Q 2 9 s d W 1 u c z E u e 0 1 h a i 4 g U 2 V u a W 9 y Z W 4 g a n V y Z X J l b i B i a W o g b W F y c y w 2 f S Z x d W 9 0 O y w m c X V v d D t T Z W N 0 a W 9 u M S 9 L R F J 2 T k I v Q X V 0 b 1 J l b W 9 2 Z W R D b 2 x 1 b W 5 z M S 5 7 T W F q L i B K Z X V n Z C B q d X J l c m V u I G J p a i B t Y X J z L D d 9 J n F 1 b 3 Q 7 L C Z x d W 9 0 O 1 N l Y 3 R p b 2 4 x L 0 t E U n Z O Q i 9 B d X R v U m V t b 3 Z l Z E N v b H V t b n M x L n t L b 3 J w c y B z Z W 5 p b 3 J l b i w 4 f S Z x d W 9 0 O y w m c X V v d D t T Z W N 0 a W 9 u M S 9 L R F J 2 T k I v Q X V 0 b 1 J l b W 9 2 Z W R D b 2 x 1 b W 5 z M S 5 7 S n V u a W 9 y Z W 4 g a 2 9 y c H M g M S w 5 f S Z x d W 9 0 O y w m c X V v d D t T Z W N 0 a W 9 u M S 9 L R F J 2 T k I v Q X V 0 b 1 J l b W 9 2 Z W R D b 2 x 1 b W 5 z M S 5 7 S n V u a W 9 y Z W 4 g a 2 9 y c H M g M i w x M H 0 m c X V v d D s s J n F 1 b 3 Q 7 U 2 V j d G l v b j E v S 0 R S d k 5 C L 0 F 1 d G 9 S Z W 1 v d m V k Q 2 9 s d W 1 u c z E u e 0 F z c G l y Y W 5 0 Z W 4 g a 2 9 y c H M g M S w x M X 0 m c X V v d D s s J n F 1 b 3 Q 7 U 2 V j d G l v b j E v S 0 R S d k 5 C L 0 F 1 d G 9 S Z W 1 v d m V k Q 2 9 s d W 1 u c z E u e 0 F z c G l y Y W 5 0 Z W 4 g a 2 9 y c H M g M i w x M n 0 m c X V v d D s s J n F 1 b 3 Q 7 U 2 V j d G l v b j E v S 0 R S d k 5 C L 0 F 1 d G 9 S Z W 1 v d m V k Q 2 9 s d W 1 u c z E u e 0 F j c m 9 i Y X R p c 2 N o I H N l b m l v c m V u L D E z f S Z x d W 9 0 O y w m c X V v d D t T Z W N 0 a W 9 u M S 9 L R F J 2 T k I v Q X V 0 b 1 J l b W 9 2 Z W R D b 2 x 1 b W 5 z M S 5 7 Q W N y b 2 J h d G l z Y 2 g g a n V u a W 9 y Z W 4 s M T R 9 J n F 1 b 3 Q 7 L C Z x d W 9 0 O 1 N l Y 3 R p b 2 4 x L 0 t E U n Z O Q i 9 B d X R v U m V t b 3 Z l Z E N v b H V t b n M x L n t B Y 3 J v Y m F 0 a X N j a C B h c 3 B p c m F u d G V u L D E 1 f S Z x d W 9 0 O y w m c X V v d D t T Z W N 0 a W 9 u M S 9 L R F J 2 T k I v Q X V 0 b 1 J l b W 9 2 Z W R D b 2 x 1 b W 5 z M S 5 7 T 3 B n Z X Z l b i B 2 Z W 5 k Z W x p Z X J z I G l u Z C 4 s M T Z 9 J n F 1 b 3 Q 7 L C Z x d W 9 0 O 1 N l Y 3 R p b 2 4 x L 0 t E U n Z O Q i 9 B d X R v U m V t b 3 Z l Z E N v b H V t b n M x L n t B Y 3 J v Y i 4 g c 2 V u a W 9 y Z W 4 g a W 5 k a X Y u L D E 3 f S Z x d W 9 0 O y w m c X V v d D t T Z W N 0 a W 9 u M S 9 L R F J 2 T k I v Q X V 0 b 1 J l b W 9 2 Z W R D b 2 x 1 b W 5 z M S 5 7 Q W N y b 2 I u I G p 1 b m l v c m V u I G l u Z G l 2 L i w x O H 0 m c X V v d D s s J n F 1 b 3 Q 7 U 2 V j d G l v b j E v S 0 R S d k 5 C L 0 F 1 d G 9 S Z W 1 v d m V k Q 2 9 s d W 1 u c z E u e 0 F j c m 9 i L i B h c 3 B p c m F u d G V u I G l u Z G l 2 L i w x O X 0 m c X V v d D s s J n F 1 b 3 Q 7 U 2 V j d G l v b j E v S 0 R S d k 5 C L 0 F 1 d G 9 S Z W 1 v d m V k Q 2 9 s d W 1 u c z E u e 0 R l Z W x u Y W 1 l I G h v b 2 Z k a 2 9 y c H M s M j B 9 J n F 1 b 3 Q 7 L C Z x d W 9 0 O 1 N l Y 3 R p b 2 4 x L 0 t E U n Z O Q i 9 B d X R v U m V t b 3 Z l Z E N v b H V t b n M x L n t H c m 9 l c G V u L C B 0 Z W F t c y w g Z W 5 z Z W 1 i b G V z I G V u I G R 1 b 1 x 1 M D A y N 3 M s M j F 9 J n F 1 b 3 Q 7 L C Z x d W 9 0 O 1 N l Y 3 R p b 2 4 x L 0 t E U n Z O Q i 9 B d X R v U m V t b 3 Z l Z E N v b H V t b n M x L n t B Y W 5 0 Y W w g b 3 B n Z W d l d m V u I G 1 h a m 9 y Z X R 0 Z X M s M j J 9 J n F 1 b 3 Q 7 L C Z x d W 9 0 O 1 N l Y 3 R p b 2 4 x L 0 t E U n Z O Q i 9 B d X R v U m V t b 3 Z l Z E N v b H V t b n M x L n t P c G d l d m V u I G J p Z W x l b W F u b m V u L D I z f S Z x d W 9 0 O y w m c X V v d D t T Z W N 0 a W 9 u M S 9 L R F J 2 T k I v Q X V 0 b 1 J l b W 9 2 Z W R D b 2 x 1 b W 5 z M S 5 7 U 2 V u a W 9 y Z W 4 s M j R 9 J n F 1 b 3 Q 7 L C Z x d W 9 0 O 1 N l Y 3 R p b 2 4 x L 0 t E U n Z O Q i 9 B d X R v U m V t b 3 Z l Z E N v b H V t b n M x L n t K b 2 5 n I F Z v b H d h c 3 N l b m U s M j V 9 J n F 1 b 3 Q 7 L C Z x d W 9 0 O 1 N l Y 3 R p b 2 4 x L 0 t E U n Z O Q i 9 B d X R v U m V t b 3 Z l Z E N v b H V t b n M x L n t K d W 5 p b 3 J l b i w y N n 0 m c X V v d D s s J n F 1 b 3 Q 7 U 2 V j d G l v b j E v S 0 R S d k 5 C L 0 F 1 d G 9 S Z W 1 v d m V k Q 2 9 s d W 1 u c z E u e 0 F z c G l y Y W 5 0 Z W 4 s M j d 9 J n F 1 b 3 Q 7 L C Z x d W 9 0 O 1 N l Y 3 R p b 2 4 x L 0 t E U n Z O Q i 9 B d X R v U m V t b 3 Z l Z E N v b H V t b n M x L n t E Z W V s b m F t Z S B t Y X J r Z X R l b n R z d G V y c y w y O H 0 m c X V v d D s s J n F 1 b 3 Q 7 U 2 V j d G l v b j E v S 0 R S d k 5 C L 0 F 1 d G 9 S Z W 1 v d m V k Q 2 9 s d W 1 u c z E u e 0 F h b n R h b C B s d W N o d G d l d 2 V l c n N j a H V 0 d G V y c y w y O X 0 m c X V v d D s s J n F 1 b 3 Q 7 U 2 V j d G l v b j E v S 0 R S d k 5 C L 0 F 1 d G 9 S Z W 1 v d m V k Q 2 9 s d W 1 u c z E u e 0 F h b n R h b C B s d W N o d H B p c 3 R v b 2 x z Y 2 h 1 d H R l c n M s M z B 9 J n F 1 b 3 Q 7 L C Z x d W 9 0 O 1 N l Y 3 R p b 2 4 x L 0 t E U n Z O Q i 9 B d X R v U m V t b 3 Z l Z E N v b H V t b n M x L n t B Y W 5 0 Y W w g a G F u Z G J v b 2 d z Y 2 h 1 d H R l c n M s M z F 9 J n F 1 b 3 Q 7 L C Z x d W 9 0 O 1 N l Y 3 R p b 2 4 x L 0 t E U n Z O Q i 9 B d X R v U m V t b 3 Z l Z E N v b H V t b n M x L n t B Y W 5 0 Y W w g a 3 J 1 a X N i b 2 9 n c 2 N o d X R 0 Z X J z L D M y f S Z x d W 9 0 O y w m c X V v d D t T Z W N 0 a W 9 u M S 9 L R F J 2 T k I v Q X V 0 b 1 J l b W 9 2 Z W R D b 2 x 1 b W 5 z M S 5 7 K E F h b n R h b C B q Z X V n Z G t v c n B z Z W 4 s M z N 9 J n F 1 b 3 Q 7 L C Z x d W 9 0 O 1 N l Y 3 R p b 2 4 x L 0 t E U n Z O Q i 9 B d X R v U m V t b 3 Z l Z E N v b H V t b n M x L n t U b 3 R h Y W w g Y W F u d G F s I G R l Z W x u Z W 1 l c n M s M z R 9 J n F 1 b 3 Q 7 L C Z x d W 9 0 O 1 N l Y 3 R p b 2 4 x L 0 t E U n Z O Q i 9 B d X R v U m V t b 3 Z l Z E N v b H V t b n M x L n t X Y W F y d m F u I G F h b n R h b C B q Z X V n Z C A o d C 9 t I D E 1 I G p h Y X I p L D M 1 f S Z x d W 9 0 O y w m c X V v d D t T Z W N 0 a W 9 u M S 9 L R F J 2 T k I v Q X V 0 b 1 J l b W 9 2 Z W R D b 2 x 1 b W 5 z M S 5 7 S 2 F u b 2 4 g Z X R j L i w z N n 0 m c X V v d D s s J n F 1 b 3 Q 7 U 2 V j d G l v b j E v S 0 R S d k 5 C L 0 F 1 d G 9 S Z W 1 v d m V k Q 2 9 s d W 1 u c z E u e 1 B h Y X J k Z W 4 g Z W 4 v b 2 Y g a 2 9 l d H N l b i w z N 3 0 m c X V v d D s s J n F 1 b 3 Q 7 U 2 V j d G l v b j E v S 0 R S d k 5 C L 0 F 1 d G 9 S Z W 1 v d m V k Q 2 9 s d W 1 u c z E u e 1 R v Z W x p Y 2 h 0 a W 5 n L 2 9 w b W V y a 2 l u Z 2 V u L D M 4 f S Z x d W 9 0 O y w m c X V v d D t T Z W N 0 a W 9 u M S 9 L R F J 2 T k I v Q X V 0 b 1 J l b W 9 2 Z W R D b 2 x 1 b W 5 z M S 5 7 S W 5 6 Z W 5 k a W 5 n L U l E L D M 5 f S Z x d W 9 0 O y w m c X V v d D t T Z W N 0 a W 9 u M S 9 L R F J 2 T k I v Q X V 0 b 1 J l b W 9 2 Z W R D b 2 x 1 b W 5 z M S 5 7 S W 5 6 Z W 5 k Z G F 0 d W 0 s N D B 9 J n F 1 b 3 Q 7 L C Z x d W 9 0 O 1 N l Y 3 R p b 2 4 x L 0 t E U n Z O Q i 9 B d X R v U m V t b 3 Z l Z E N v b H V t b n M x L n t E Y X R l I F V w Z G F 0 Z W Q s N D F 9 J n F 1 b 3 Q 7 L C Z x d W 9 0 O 1 N l Y 3 R p b 2 4 x L 0 t E U n Z O Q i 9 B d X R v U m V t b 3 Z l Z E N v b H V t b n M x L n t O Y W F t I H Z h b i B o Z X Q g a G 9 v Z m R r b 3 J w c y w 0 M n 0 m c X V v d D s s J n F 1 b 3 Q 7 U 2 V j d G l v b j E v S 0 R S d k 5 C L 0 F 1 d G 9 S Z W 1 v d m V k Q 2 9 s d W 1 u c z E u e 1 p h b C B v c C B 0 c m V k Z W 4 g Y W x z I C h o b 2 9 m Z G t v c n B z K S w 0 M 3 0 m c X V v d D s s J n F 1 b 3 Q 7 U 2 V j d G l v b j E v S 0 R S d k 5 C L 0 F 1 d G 9 S Z W 1 v d m V k Q 2 9 s d W 1 u c z E u e 1 Z v c m 0 g d m F u I H R 3 Z W U g b X V 6 a W V r d 2 V y a 2 V u I C h o b 2 9 m Z G t v c n B z K S w 0 N H 0 m c X V v d D s s J n F 1 b 3 Q 7 U 2 V j d G l v b j E v S 0 R S d k 5 C L 0 F 1 d G 9 S Z W 1 v d m V k Q 2 9 s d W 1 u c z E u e 1 p h b C B 1 a X R r b 2 1 l b i B p b i B k Z T o g K G h v b 2 Z k a 2 9 y c H M p L D Q 1 f S Z x d W 9 0 O y w m c X V v d D t T Z W N 0 a W 9 u M S 9 L R F J 2 T k I v Q X V 0 b 1 J l b W 9 2 Z W R D b 2 x 1 b W 5 z M S 5 7 T X V 6 a W V r d 2 V y a z E g K G h v b 2 Z k a 2 9 y c H M p L D Q 2 f S Z x d W 9 0 O y w m c X V v d D t T Z W N 0 a W 9 u M S 9 L R F J 2 T k I v Q X V 0 b 1 J l b W 9 2 Z W R D b 2 x 1 b W 5 z M S 5 7 T X V 6 a W V r d 2 V y a z I g K G h v b 2 Z k a 2 9 y c H M p L D Q 3 f S Z x d W 9 0 O y w m c X V v d D t T Z W N 0 a W 9 u M S 9 L R F J 2 T k I v Q X V 0 b 1 J l b W 9 2 Z W R D b 2 x 1 b W 5 z M S 5 7 S 2 9 y c H M g Y m V z d G F h d C B 1 a X Q g L i 4 u I G R l Z W x u Z W 1 l c n M g K G h v b 2 Z k a 2 9 y c H M p L D Q 4 f S Z x d W 9 0 O y w m c X V v d D t T Z W N 0 a W 9 u M S 9 L R F J 2 T k I v Q X V 0 b 1 J l b W 9 2 Z W R D b 2 x 1 b W 5 z M S 5 7 V 2 9 y Z H Q g Z X I g Z 2 V i c n V p a y B n Z W 1 h Y W t 0 I H Z h b i B t Z W N o Y W 5 p c 2 N o Z S B t d X p p Z W s / L D Q 5 f S Z x d W 9 0 O y w m c X V v d D t T Z W N 0 a W 9 u M S 9 L R F J 2 T k I v Q X V 0 b 1 J l b W 9 2 Z W R D b 2 x 1 b W 5 z M S 5 7 T 2 5 k Z X J k Z W x l b i w 1 M H 0 m c X V v d D s s J n F 1 b 3 Q 7 U 2 V j d G l v b j E v S 0 R S d k 5 C L 0 F 1 d G 9 S Z W 1 v d m V k Q 2 9 s d W 1 u c z E u e 1 N l Y 3 R p Z X M s N T F 9 J n F 1 b 3 Q 7 L C Z x d W 9 0 O 1 N l Y 3 R p b 2 4 x L 0 t E U n Z O Q i 9 B d X R v U m V t b 3 Z l Z E N v b H V t b n M x L n t M Z W V m d G l q Z H N j Y X R l Z 2 9 y a W U s N T J 9 J n F 1 b 3 Q 7 X S w m c X V v d D t S Z W x h d G l v b n N o a X B J b m Z v J n F 1 b 3 Q 7 O l t d f S I g L z 4 8 L 1 N 0 Y W J s Z U V u d H J p Z X M + P C 9 J d G V t P j x J d G V t P j x J d G V t T G 9 j Y X R p b 2 4 + P E l 0 Z W 1 U e X B l P k Z v c m 1 1 b G E 8 L 0 l 0 Z W 1 U e X B l P j x J d G V t U G F 0 a D 5 T Z W N 0 a W 9 u M S 9 W b 2 9 y Y m V l b G R i Z X N 0 Y W 5 k P C 9 J d G V t U G F 0 a D 4 8 L 0 l 0 Z W 1 M b 2 N h d G l v b j 4 8 U 3 R h Y m x l R W 5 0 c m l l c z 4 8 R W 5 0 c n k g V H l w Z T 0 i Q n V m Z m V y T m V 4 d F J l Z n J l c 2 g i I F Z h b H V l P S J s M S I g L z 4 8 R W 5 0 c n k g V H l w Z T 0 i R m l s b E V u Y W J s Z W Q i I F Z h b H V l P S J s M C I g L z 4 8 R W 5 0 c n k g V H l w Z T 0 i R m l s b G V k Q 2 9 t c G x l d G V S Z X N 1 b H R U b 1 d v c m t z a G V l d C I g V m F s d W U 9 I m w w I i A v P j x F b n R y e S B U e X B l P S J G a W x s V G 9 E Y X R h T W 9 k Z W x F b m F i b G V k I i B W Y W x 1 Z T 0 i b D A i I C 8 + P E V u d H J 5 I F R 5 c G U 9 I k l z U H J p d m F 0 Z S I g V m F s d W U 9 I m w w I i A v P j x F b n R y e S B U e X B l P S J R d W V y e U d y b 3 V w S U Q i I F Z h b H V l P S J z Y z Y 4 N D B i O G I t N W Z l N i 0 0 Y T M w L T g x Y W I t Y z U 4 N 2 V i O D I 0 N 2 E 5 I i A v P j x F b n R y e S B U e X B l P S J R d W V y e U l E I i B W Y W x 1 Z T 0 i c z E 4 N D B j M m I y L W F h N G M t N D U w Z i 1 i Y T Y z L T Q 4 M D A 1 Y 2 I w O D h m M y I g L z 4 8 R W 5 0 c n k g V H l w Z T 0 i U m V z d W x 0 V H l w Z S I g V m F s d W U 9 I n N F e G N l c H R p b 2 4 i I C 8 + P E V u d H J 5 I F R 5 c G U 9 I k Z p b G x P Y m p l Y 3 R U e X B l I i B W Y W x 1 Z T 0 i c 0 N v b m 5 l Y 3 R p b 2 5 P b m x 5 I i A v P j x F b n R y e S B U e X B l P S J O Y W 1 l V X B k Y X R l Z E F m d G V y R m l s b C I g V m F s d W U 9 I m w x I i A v P j x F b n R y e S B U e X B l P S J M b 2 F k Z W R U b 0 F u Y W x 5 c 2 l z U 2 V y d m l j Z X M i I F Z h b H V l P S J s M C I g L z 4 8 R W 5 0 c n k g V H l w Z T 0 i T G 9 h Z F R v U m V w b 3 J 0 R G l z Y W J s Z W Q i I F Z h b H V l P S J s M S I g L z 4 8 R W 5 0 c n k g V H l w Z T 0 i R m l s b E V y c m 9 y Q 2 9 k Z S I g V m F s d W U 9 I n N V b m t u b 3 d u I i A v P j x F b n R y e S B U e X B l P S J B Z G R l Z F R v R G F 0 Y U 1 v Z G V s I i B W Y W x 1 Z T 0 i b D A i I C 8 + P E V u d H J 5 I F R 5 c G U 9 I k Z p b G x M Y X N 0 V X B k Y X R l Z C I g V m F s d W U 9 I m Q y M D I 2 L T A y L T A 4 V D E w O j E 4 O j I 1 L j U 3 N T M z M D B a I i A v P j x F b n R y e S B U e X B l P S J G a W x s U 3 R h d H V z I i B W Y W x 1 Z T 0 i c 0 N v b X B s Z X R l I i A v P j w v U 3 R h Y m x l R W 5 0 c m l l c z 4 8 L 0 l 0 Z W 0 + P E l 0 Z W 0 + P E l 0 Z W 1 M b 2 N h d G l v b j 4 8 S X R l b V R 5 c G U + R m 9 y b X V s Y T w v S X R l b V R 5 c G U + P E l 0 Z W 1 Q Y X R o P l N l Y 3 R p b 2 4 x L 1 B h c m F t Z X R l c j E 8 L 0 l 0 Z W 1 Q Y X R o P j w v S X R l b U x v Y 2 F 0 a W 9 u P j x T d G F i b G V F b n R y a W V z P j x F b n R y e S B U e X B l P S J B Z G R l Z F R v R G F 0 Y U 1 v Z G V s I i B W Y W x 1 Z T 0 i b D A i I C 8 + P E V u d H J 5 I F R 5 c G U 9 I k J 1 Z m Z l c k 5 l e H R S Z W Z y Z X N o I i B W Y W x 1 Z T 0 i b D E i I C 8 + P E V u d H J 5 I F R 5 c G U 9 I k Z p b G x F b m F i b G V k I i B W Y W x 1 Z T 0 i b D A i I C 8 + P E V u d H J 5 I F R 5 c G U 9 I k Z p b G x F c n J v c k N v Z G U i I F Z h b H V l P S J z V W 5 r b m 9 3 b i I g L z 4 8 R W 5 0 c n k g V H l w Z T 0 i R m l s b E x h c 3 R V c G R h d G V k I i B W Y W x 1 Z T 0 i Z D I w M j E t M D g t M T R U M T M 6 M z M 6 M T E u N z M 3 M D A 5 M V o i I C 8 + P E V u d H J 5 I F R 5 c G U 9 I k Z p b G x l Z E N v b X B s Z X R l U m V z d W x 0 V G 9 X b 3 J r c 2 h l Z X Q i I F Z h b H V l P S J s M C I g L z 4 8 R W 5 0 c n k g V H l w Z T 0 i R m l s b F N 0 Y X R 1 c y I g V m F s d W U 9 I n N D b 2 1 w b G V 0 Z S I g L z 4 8 R W 5 0 c n k g V H l w Z T 0 i R m l s b F R v R G F 0 Y U 1 v Z G V s R W 5 h Y m x l Z C I g V m F s d W U 9 I m w w I i A v P j x F b n R y e S B U e X B l P S J J c 1 B y a X Z h d G U i I F Z h b H V l P S J s M C I g L z 4 8 R W 5 0 c n k g V H l w Z T 0 i U X V l c n l H c m 9 1 c E l E I i B W Y W x 1 Z T 0 i c 2 M 2 O D Q w Y j h i L T V m Z T Y t N G E z M C 0 4 M W F i L W M 1 O D d l Y j g y N D d h O S I g L z 4 8 R W 5 0 c n k g V H l w Z T 0 i U X V l c n l J R C I g V m F s d W U 9 I n M z M 2 I 1 M G Y w Z S 0 1 M z E 2 L T Q y Z j k t O T J m Z S 1 k N z d k M T d j M z R j N W I i I C 8 + P E V u d H J 5 I F R 5 c G U 9 I l J l c 3 V s d F R 5 c G U i I F Z h b H V l P S J z R X h j Z X B 0 a W 9 u I i A v P j x F b n R y e S B U e X B l P S J G a W x s T 2 J q Z W N 0 V H l w Z S I g V m F s d W U 9 I n N D b 2 5 u Z W N 0 a W 9 u T 2 5 s e S I g L z 4 8 R W 5 0 c n k g V H l w Z T 0 i T G 9 h Z F R v U m V w b 3 J 0 R G l z Y W J s Z W Q i I F Z h b H V l P S J s M S I g L z 4 8 L 1 N 0 Y W J s Z U V u d H J p Z X M + P C 9 J d G V t P j x J d G V t P j x J d G V t T G 9 j Y X R p b 2 4 + P E l 0 Z W 1 U e X B l P k Z v c m 1 1 b G E 8 L 0 l 0 Z W 1 U e X B l P j x J d G V t U G F 0 a D 5 T Z W N 0 a W 9 u M S 9 W b 2 9 y Y m V l b G R i Z X N 0 Y W 5 k J T I w d H J h b n N m b 3 J t Z X J l b j w v S X R l b V B h d G g + P C 9 J d G V t T G 9 j Y X R p b 2 4 + P F N 0 Y W J s Z U V u d H J p Z X M + P E V u d H J 5 I F R 5 c G U 9 I k J 1 Z m Z l c k 5 l e H R S Z W Z y Z X N o I i B W Y W x 1 Z T 0 i b D E i I C 8 + P E V u d H J 5 I F R 5 c G U 9 I k Z p b G x F b m F i b G V k I i B W Y W x 1 Z T 0 i b D A i I C 8 + P E V u d H J 5 I F R 5 c G U 9 I k Z p b G x l Z E N v b X B s Z X R l U m V z d W x 0 V G 9 X b 3 J r c 2 h l Z X Q i I F Z h b H V l P S J s M C I g L z 4 8 R W 5 0 c n k g V H l w Z T 0 i R m l s b F R v R G F 0 Y U 1 v Z G V s R W 5 h Y m x l Z C I g V m F s d W U 9 I m w w I i A v P j x F b n R y e S B U e X B l P S J J c 1 B y a X Z h d G U i I F Z h b H V l P S J s M C I g L z 4 8 R W 5 0 c n k g V H l w Z T 0 i U X V l c n l H c m 9 1 c E l E I i B W Y W x 1 Z T 0 i c z U w M 2 R l N D h l L T h k M j M t N D Z l N y 1 h Y z c 5 L T U y N m Q y M T Z l Y 2 Q 2 N S I g L z 4 8 R W 5 0 c n k g V H l w Z T 0 i U X V l c n l J R C I g V m F s d W U 9 I n M w M T I 5 Z j N h Y S 1 j N z d m L T Q 2 Z m Y t Y W U w M C 0 z Y T I 0 O W Y 3 Z m U 1 N m I i I C 8 + P E V u d H J 5 I F R 5 c G U 9 I l J l c 3 V s d F R 5 c G U i I F Z h b H V l P S J z R X h j Z X B 0 a W 9 u I i A v P j x F b n R y e S B U e X B l P S J G a W x s T 2 J q Z W N 0 V H l w Z S I g V m F s d W U 9 I n N D b 2 5 u Z W N 0 a W 9 u T 2 5 s e S I g L z 4 8 R W 5 0 c n k g V H l w Z T 0 i T m F t Z V V w Z G F 0 Z W R B Z n R l c k Z p b G w i I F Z h b H V l P S J s M S I g L z 4 8 R W 5 0 c n k g V H l w Z T 0 i T G 9 h Z F R v U m V w b 3 J 0 R G l z Y W J s Z W Q i I F Z h b H V l P S J s M S I g L z 4 8 R W 5 0 c n k g V H l w Z T 0 i R m l s b E V y c m 9 y Q 2 9 k Z S I g V m F s d W U 9 I n N V b m t u b 3 d u I i A v P j x F b n R y e S B U e X B l P S J B Z G R l Z F R v R G F 0 Y U 1 v Z G V s I i B W Y W x 1 Z T 0 i b D A i I C 8 + P E V u d H J 5 I F R 5 c G U 9 I k Z p b G x M Y X N 0 V X B k Y X R l Z C I g V m F s d W U 9 I m Q y M D I 2 L T A y L T A 4 V D E w O j E 4 O j I 2 L j A x M j I 4 N D B a I i A v P j x F b n R y e S B U e X B l P S J G a W x s U 3 R h d H V z I i B W Y W x 1 Z T 0 i c 0 N v b X B s Z X R l I i A v P j w v U 3 R h Y m x l R W 5 0 c m l l c z 4 8 L 0 l 0 Z W 0 + P E l 0 Z W 0 + P E l 0 Z W 1 M b 2 N h d G l v b j 4 8 S X R l b V R 5 c G U + R m 9 y b X V s Y T w v S X R l b V R 5 c G U + P E l 0 Z W 1 Q Y X R o P l N l Y 3 R p b 2 4 x L 0 J l c 3 R h b m Q l M j B 0 c m F u c 2 Z v c m 1 l c m V u P C 9 J d G V t U G F 0 a D 4 8 L 0 l 0 Z W 1 M b 2 N h d G l v b j 4 8 U 3 R h Y m x l R W 5 0 c m l l c z 4 8 R W 5 0 c n k g V H l w Z T 0 i Q W R k Z W R U b 0 R h d G F N b 2 R l b C I g V m F s d W U 9 I m w w I i A v P j x F b n R y e S B U e X B l P S J C d W Z m Z X J O Z X h 0 U m V m c m V z a C I g V m F s d W U 9 I m w x I i A v P j x F b n R y e S B U e X B l P S J G a W x s R W 5 h Y m x l Z C I g V m F s d W U 9 I m w w I i A v P j x F b n R y e S B U e X B l P S J G a W x s R X J y b 3 J D b 2 R l I i B W Y W x 1 Z T 0 i c 1 V u a 2 5 v d 2 4 i I C 8 + P E V u d H J 5 I F R 5 c G U 9 I k Z p b G x M Y X N 0 V X B k Y X R l Z C I g V m F s d W U 9 I m Q y M D I 0 L T E w L T A y V D A 5 O j U 5 O j Q 2 L j U 4 M T A 0 N z B a I i A v P j x F b n R y e S B U e X B l P S J G a W x s Z W R D b 2 1 w b G V 0 Z V J l c 3 V s d F R v V 2 9 y a 3 N o Z W V 0 I i B W Y W x 1 Z T 0 i b D A i I C 8 + P E V u d H J 5 I F R 5 c G U 9 I k Z p b G x T d G F 0 d X M i I F Z h b H V l P S J z Q 2 9 t c G x l d G U i I C 8 + P E V u d H J 5 I F R 5 c G U 9 I k Z p b G x U b 0 R h d G F N b 2 R l b E V u Y W J s Z W Q i I F Z h b H V l P S J s M C I g L z 4 8 R W 5 0 c n k g V H l w Z T 0 i S X N Q c m l 2 Y X R l I i B W Y W x 1 Z T 0 i b D A i I C 8 + P E V u d H J 5 I F R 5 c G U 9 I l F 1 Z X J 5 R 3 J v d X B J R C I g V m F s d W U 9 I n N j N j g 0 M G I 4 Y i 0 1 Z m U 2 L T R h M z A t O D F h Y i 1 j N T g 3 Z W I 4 M j Q 3 Y T k i I C 8 + P E V u d H J 5 I F R 5 c G U 9 I l F 1 Z X J 5 S U Q i I F Z h b H V l P S J z Y T F k Y T J k N D I t Y 2 M w M y 0 0 M z c w L W I z Z j Y t M z M 5 Y T h j Y T h i Z W Y z I i A v P j x F b n R y e S B U e X B l P S J S Z X N 1 b H R U e X B l I i B W Y W x 1 Z T 0 i c 0 Z 1 b m N 0 a W 9 u I i A v P j x F b n R y e S B U e X B l P S J G a W x s T 2 J q Z W N 0 V H l w Z S I g V m F s d W U 9 I n N D b 2 5 u Z W N 0 a W 9 u T 2 5 s e S I g L z 4 8 R W 5 0 c n k g V H l w Z T 0 i T G 9 h Z F R v U m V w b 3 J 0 R G l z Y W J s Z W Q i I F Z h b H V l P S J s M S I g L z 4 8 L 1 N 0 Y W J s Z U V u d H J p Z X M + P C 9 J d G V t P j x J d G V t P j x J d G V t T G 9 j Y X R p b 2 4 + P E l 0 Z W 1 U e X B l P k Z v c m 1 1 b G E 8 L 0 l 0 Z W 1 U e X B l P j x J d G V t U G F 0 a D 5 T Z W N 0 a W 9 u M S 9 W b 2 9 y Y m V l b G R i Z X N 0 Y W 5 k J T I w J T I 4 M i U y O T w v S X R l b V B h d G g + P C 9 J d G V t T G 9 j Y X R p b 2 4 + P F N 0 Y W J s Z U V u d H J p Z X M + P E V u d H J 5 I F R 5 c G U 9 I k J 1 Z m Z l c k 5 l e H R S Z W Z y Z X N o I i B W Y W x 1 Z T 0 i b D E i I C 8 + P E V u d H J 5 I F R 5 c G U 9 I k Z p b G x F b m F i b G V k I i B W Y W x 1 Z T 0 i b D A i I C 8 + P E V u d H J 5 I F R 5 c G U 9 I k Z p b G x l Z E N v b X B s Z X R l U m V z d W x 0 V G 9 X b 3 J r c 2 h l Z X Q i I F Z h b H V l P S J s M C I g L z 4 8 R W 5 0 c n k g V H l w Z T 0 i R m l s b F R v R G F 0 Y U 1 v Z G V s R W 5 h Y m x l Z C I g V m F s d W U 9 I m w w I i A v P j x F b n R y e S B U e X B l P S J J c 1 B y a X Z h d G U i I F Z h b H V l P S J s M C I g L z 4 8 R W 5 0 c n k g V H l w Z T 0 i U X V l c n l H c m 9 1 c E l E I i B W Y W x 1 Z T 0 i c z M y N G V h M D R i L T U 5 Z T g t N D N k O C 0 5 N W M 3 L W I 1 N j Y 2 M G Q 0 Y T M 1 N y I g L z 4 8 R W 5 0 c n k g V H l w Z T 0 i U X V l c n l J R C I g V m F s d W U 9 I n M x Z m Z i M D V l M y 0 w N D F l L T Q z N m E t Y m V m Y S 0 5 N D Y 0 Z T Z m N T A z Z G Q i I C 8 + P E V u d H J 5 I F R 5 c G U 9 I l J l c 3 V s d F R 5 c G U i I F Z h b H V l P S J z R X h j Z X B 0 a W 9 u I i A v P j x F b n R y e S B U e X B l P S J O Y X Z p Z 2 F 0 a W 9 u U 3 R l c E 5 h b W U i I F Z h b H V l P S J z T m F 2 a W d h d G l l I i A v P j x F b n R y e S B U e X B l P S J G a W x s T 2 J q Z W N 0 V H l w Z S I g V m F s d W U 9 I n N D b 2 5 u Z W N 0 a W 9 u T 2 5 s e S I g L z 4 8 R W 5 0 c n k g V H l w Z T 0 i T m F t Z V V w Z G F 0 Z W R B Z n R l c k Z p b G w i I F Z h b H V l P S J s M S I g L z 4 8 R W 5 0 c n k g V H l w Z T 0 i T G 9 h Z G V k V G 9 B b m F s e X N p c 1 N l c n Z p Y 2 V z I i B W Y W x 1 Z T 0 i b D A i I C 8 + P E V u d H J 5 I F R 5 c G U 9 I k x v Y W R U b 1 J l c G 9 y d E R p c 2 F i b G V k I i B W Y W x 1 Z T 0 i b D E i I C 8 + P E V u d H J 5 I F R 5 c G U 9 I k Z p b G x F c n J v c k N v Z G U i I F Z h b H V l P S J z V W 5 r b m 9 3 b i I g L z 4 8 R W 5 0 c n k g V H l w Z T 0 i Q W R k Z W R U b 0 R h d G F N b 2 R l b C I g V m F s d W U 9 I m w w I i A v P j x F b n R y e S B U e X B l P S J G a W x s T G F z d F V w Z G F 0 Z W Q i I F Z h b H V l P S J k M j A y N i 0 w M i 0 w O F Q x M D o x O D o y N i 4 w N j E w O T U w W i I g L z 4 8 R W 5 0 c n k g V H l w Z T 0 i R m l s b F N 0 Y X R 1 c y I g V m F s d W U 9 I n N D b 2 1 w b G V 0 Z S I g L z 4 8 R W 5 0 c n k g V H l w Z T 0 i U m V s Y X R p b 2 5 z a G l w S W 5 m b 0 N v b n R h a W 5 l c i I g V m F s d W U 9 I n N 7 J n F 1 b 3 Q 7 Y 2 9 s d W 1 u Q 2 9 1 b n Q m c X V v d D s 6 N i w m c X V v d D t r Z X l D b 2 x 1 b W 5 O Y W 1 l c y Z x d W 9 0 O z p b X S w m c X V v d D t x d W V y e V J l b G F 0 a W 9 u c 2 h p c H M m c X V v d D s 6 W 1 0 s J n F 1 b 3 Q 7 Y 2 9 s d W 1 u S W R l b n R p d G l l c y Z x d W 9 0 O z p b J n F 1 b 3 Q 7 U 2 V j d G l v b j E v Q m l l b G V t Y W 5 0 c m V m Z m V u L 0 F 1 d G 9 S Z W 1 v d m V k Q 2 9 s d W 1 u c z E u e 0 5 h b W U s M H 0 m c X V v d D s s J n F 1 b 3 Q 7 U 2 V j d G l v b j E v Q m l l b G V t Y W 5 0 c m V m Z m V u L 0 F 1 d G 9 S Z W 1 v d m V k Q 2 9 s d W 1 u c z E u e 0 V 4 d G V u c 2 l v b i w x f S Z x d W 9 0 O y w m c X V v d D t T Z W N 0 a W 9 u M S 9 C a W V s Z W 1 h b n R y Z W Z m Z W 4 v Q X V 0 b 1 J l b W 9 2 Z W R D b 2 x 1 b W 5 z M S 5 7 R G F 0 Z S B h Y 2 N l c 3 N l Z C w y f S Z x d W 9 0 O y w m c X V v d D t T Z W N 0 a W 9 u M S 9 C a W V s Z W 1 h b n R y Z W Z m Z W 4 v Q X V 0 b 1 J l b W 9 2 Z W R D b 2 x 1 b W 5 z M S 5 7 R G F 0 Z S B t b 2 R p Z m l l Z C w z f S Z x d W 9 0 O y w m c X V v d D t T Z W N 0 a W 9 u M S 9 C a W V s Z W 1 h b n R y Z W Z m Z W 4 v Q X V 0 b 1 J l b W 9 2 Z W R D b 2 x 1 b W 5 z M S 5 7 R G F 0 Z S B j c m V h d G V k L D R 9 J n F 1 b 3 Q 7 L C Z x d W 9 0 O 1 N l Y 3 R p b 2 4 x L 0 J p Z W x l b W F u d H J l Z m Z l b i 9 B d X R v U m V t b 3 Z l Z E N v b H V t b n M x L n t G b 2 x k Z X I g U G F 0 a C w 1 f S Z x d W 9 0 O 1 0 s J n F 1 b 3 Q 7 Q 2 9 s d W 1 u Q 2 9 1 b n Q m c X V v d D s 6 N i w m c X V v d D t L Z X l D b 2 x 1 b W 5 O Y W 1 l c y Z x d W 9 0 O z p b X S w m c X V v d D t D b 2 x 1 b W 5 J Z G V u d G l 0 a W V z J n F 1 b 3 Q 7 O l s m c X V v d D t T Z W N 0 a W 9 u M S 9 C a W V s Z W 1 h b n R y Z W Z m Z W 4 v Q X V 0 b 1 J l b W 9 2 Z W R D b 2 x 1 b W 5 z M S 5 7 T m F t Z S w w f S Z x d W 9 0 O y w m c X V v d D t T Z W N 0 a W 9 u M S 9 C a W V s Z W 1 h b n R y Z W Z m Z W 4 v Q X V 0 b 1 J l b W 9 2 Z W R D b 2 x 1 b W 5 z M S 5 7 R X h 0 Z W 5 z a W 9 u L D F 9 J n F 1 b 3 Q 7 L C Z x d W 9 0 O 1 N l Y 3 R p b 2 4 x L 0 J p Z W x l b W F u d H J l Z m Z l b i 9 B d X R v U m V t b 3 Z l Z E N v b H V t b n M x L n t E Y X R l I G F j Y 2 V z c 2 V k L D J 9 J n F 1 b 3 Q 7 L C Z x d W 9 0 O 1 N l Y 3 R p b 2 4 x L 0 J p Z W x l b W F u d H J l Z m Z l b i 9 B d X R v U m V t b 3 Z l Z E N v b H V t b n M x L n t E Y X R l I G 1 v Z G l m a W V k L D N 9 J n F 1 b 3 Q 7 L C Z x d W 9 0 O 1 N l Y 3 R p b 2 4 x L 0 J p Z W x l b W F u d H J l Z m Z l b i 9 B d X R v U m V t b 3 Z l Z E N v b H V t b n M x L n t E Y X R l I G N y Z W F 0 Z W Q s N H 0 m c X V v d D s s J n F 1 b 3 Q 7 U 2 V j d G l v b j E v Q m l l b G V t Y W 5 0 c m V m Z m V u L 0 F 1 d G 9 S Z W 1 v d m V k Q 2 9 s d W 1 u c z E u e 0 Z v b G R l c i B Q Y X R o L D V 9 J n F 1 b 3 Q 7 X S w m c X V v d D t S Z W x h d G l v b n N o a X B J b m Z v J n F 1 b 3 Q 7 O l t d f S I g L z 4 8 L 1 N 0 Y W J s Z U V u d H J p Z X M + P C 9 J d G V t P j x J d G V t P j x J d G V t T G 9 j Y X R p b 2 4 + P E l 0 Z W 1 U e X B l P k Z v c m 1 1 b G E 8 L 0 l 0 Z W 1 U e X B l P j x J d G V t U G F 0 a D 5 T Z W N 0 a W 9 u M S 9 Q Y X J h b W V 0 Z X I y P C 9 J d G V t U G F 0 a D 4 8 L 0 l 0 Z W 1 M b 2 N h d G l v b j 4 8 U 3 R h Y m x l R W 5 0 c m l l c z 4 8 R W 5 0 c n k g V H l w Z T 0 i Q W R k Z W R U b 0 R h d G F N b 2 R l b C I g V m F s d W U 9 I m w w I i A v P j x F b n R y e S B U e X B l P S J C d W Z m Z X J O Z X h 0 U m V m c m V z a C I g V m F s d W U 9 I m w x I i A v P j x F b n R y e S B U e X B l P S J G a W x s R W 5 h Y m x l Z C I g V m F s d W U 9 I m w w I i A v P j x F b n R y e S B U e X B l P S J G a W x s R X J y b 3 J D b 2 R l I i B W Y W x 1 Z T 0 i c 1 V u a 2 5 v d 2 4 i I C 8 + P E V u d H J 5 I F R 5 c G U 9 I k Z p b G x M Y X N 0 V X B k Y X R l Z C I g V m F s d W U 9 I m Q y M D I x L T A 4 L T E 0 V D E z O j M z O j E y L j I 1 M z A 0 M z F a I i A v P j x F b n R y e S B U e X B l P S J G a W x s Z W R D b 2 1 w b G V 0 Z V J l c 3 V s d F R v V 2 9 y a 3 N o Z W V 0 I i B W Y W x 1 Z T 0 i b D A i I C 8 + P E V u d H J 5 I F R 5 c G U 9 I k Z p b G x T d G F 0 d X M i I F Z h b H V l P S J z Q 2 9 t c G x l d G U i I C 8 + P E V u d H J 5 I F R 5 c G U 9 I k Z p b G x U b 0 R h d G F N b 2 R l b E V u Y W J s Z W Q i I F Z h b H V l P S J s M C I g L z 4 8 R W 5 0 c n k g V H l w Z T 0 i S X N Q c m l 2 Y X R l I i B W Y W x 1 Z T 0 i b D A i I C 8 + P E V u d H J 5 I F R 5 c G U 9 I l F 1 Z X J 5 R 3 J v d X B J R C I g V m F s d W U 9 I n M z M j R l Y T A 0 Y i 0 1 O W U 4 L T Q z Z D g t O T V j N y 1 i N T Y 2 N j B k N G E z N T c i I C 8 + P E V u d H J 5 I F R 5 c G U 9 I l F 1 Z X J 5 S U Q i I F Z h b H V l P S J z M D Q 3 M W Y x M j U t N D Q x N i 0 0 M T B l L T k 1 N 2 U t O W U w N j Q x Y m U 4 Z T V m I i A v P j x F b n R y e S B U e X B l P S J S Z X N 1 b H R U e X B l I i B W Y W x 1 Z T 0 i c 0 V 4 Y 2 V w d G l v b i I g L z 4 8 R W 5 0 c n k g V H l w Z T 0 i R m l s b E 9 i a m V j d F R 5 c G U i I F Z h b H V l P S J z Q 2 9 u b m V j d G l v b k 9 u b H k i I C 8 + P E V u d H J 5 I F R 5 c G U 9 I k x v Y W R U b 1 J l c G 9 y d E R p c 2 F i b G V k I i B W Y W x 1 Z T 0 i b D E i I C 8 + P C 9 T d G F i b G V F b n R y a W V z P j w v S X R l b T 4 8 S X R l b T 4 8 S X R l b U x v Y 2 F 0 a W 9 u P j x J d G V t V H l w Z T 5 G b 3 J t d W x h P C 9 J d G V t V H l w Z T 4 8 S X R l b V B h d G g + U 2 V j d G l v b j E v V m 9 v c m J l Z W x k Y m V z d G F u Z C U y M H R y Y W 5 z Z m 9 y b W V y Z W 4 l M j A l M j g y J T I 5 P C 9 J d G V t U G F 0 a D 4 8 L 0 l 0 Z W 1 M b 2 N h d G l v b j 4 8 U 3 R h Y m x l R W 5 0 c m l l c z 4 8 R W 5 0 c n k g V H l w Z T 0 i Q n V m Z m V y T m V 4 d F J l Z n J l c 2 g i I F Z h b H V l P S J s M S I g L z 4 8 R W 5 0 c n k g V H l w Z T 0 i R m l s b E V u Y W J s Z W Q i I F Z h b H V l P S J s M C I g L z 4 8 R W 5 0 c n k g V H l w Z T 0 i R m l s b G V k Q 2 9 t c G x l d G V S Z X N 1 b H R U b 1 d v c m t z a G V l d C I g V m F s d W U 9 I m w w I i A v P j x F b n R y e S B U e X B l P S J G a W x s V G 9 E Y X R h T W 9 k Z W x F b m F i b G V k I i B W Y W x 1 Z T 0 i b D A i I C 8 + P E V u d H J 5 I F R 5 c G U 9 I k l z U H J p d m F 0 Z S I g V m F s d W U 9 I m w w I i A v P j x F b n R y e S B U e X B l P S J R d W V y e U d y b 3 V w S U Q i I F Z h b H V l P S J z M j g 1 O D R h Z m Q t N j R l N C 0 0 M m Y 0 L T g y O D E t Z m J i O D h l M j M z M T c 1 I i A v P j x F b n R y e S B U e X B l P S J R d W V y e U l E I i B W Y W x 1 Z T 0 i c 2 U 5 Z D M z N m N k L T E 2 O G I t N G R k M y 0 4 O T B i L T I z N 2 V l N T F l M j Q y N S I g L z 4 8 R W 5 0 c n k g V H l w Z T 0 i U m V z d W x 0 V H l w Z S I g V m F s d W U 9 I n N F e G N l c H R p b 2 4 i I C 8 + P E V u d H J 5 I F R 5 c G U 9 I k Z p b G x P Y m p l Y 3 R U e X B l I i B W Y W x 1 Z T 0 i c 0 N v b m 5 l Y 3 R p b 2 5 P b m x 5 I i A v P j x F b n R y e S B U e X B l P S J O Y W 1 l V X B k Y X R l Z E F m d G V y R m l s b C I g V m F s d W U 9 I m w x I i A v P j x F b n R y e S B U e X B l P S J M b 2 F k V G 9 S Z X B v c n R E a X N h Y m x l Z C I g V m F s d W U 9 I m w x I i A v P j x F b n R y e S B U e X B l P S J G a W x s R X J y b 3 J D b 2 R l I i B W Y W x 1 Z T 0 i c 1 V u a 2 5 v d 2 4 i I C 8 + P E V u d H J 5 I F R 5 c G U 9 I k F k Z G V k V G 9 E Y X R h T W 9 k Z W w i I F Z h b H V l P S J s M C I g L z 4 8 R W 5 0 c n k g V H l w Z T 0 i R m l s b E x h c 3 R V c G R h d G V k I i B W Y W x 1 Z T 0 i Z D I w M j Y t M D I t M D h U M T A 6 M T g 6 M j Y u M T I x N z g 1 M F o i I C 8 + P E V u d H J 5 I F R 5 c G U 9 I k Z p b G x T d G F 0 d X M i I F Z h b H V l P S J z Q 2 9 t c G x l d G U i I C 8 + P C 9 T d G F i b G V F b n R y a W V z P j w v S X R l b T 4 8 S X R l b T 4 8 S X R l b U x v Y 2 F 0 a W 9 u P j x J d G V t V H l w Z T 5 G b 3 J t d W x h P C 9 J d G V t V H l w Z T 4 8 S X R l b V B h d G g + U 2 V j d G l v b j E v Q m V z d G F u Z C U y M H R y Y W 5 z Z m 9 y b W V y Z W 4 l M j A l M j g y J T I 5 P C 9 J d G V t U G F 0 a D 4 8 L 0 l 0 Z W 1 M b 2 N h d G l v b j 4 8 U 3 R h Y m x l R W 5 0 c m l l c z 4 8 R W 5 0 c n k g V H l w Z T 0 i Q W R k Z W R U b 0 R h d G F N b 2 R l b C I g V m F s d W U 9 I m w w I i A v P j x F b n R y e S B U e X B l P S J C d W Z m Z X J O Z X h 0 U m V m c m V z a C I g V m F s d W U 9 I m w x I i A v P j x F b n R y e S B U e X B l P S J G a W x s R W 5 h Y m x l Z C I g V m F s d W U 9 I m w w I i A v P j x F b n R y e S B U e X B l P S J G a W x s R X J y b 3 J D b 2 R l I i B W Y W x 1 Z T 0 i c 1 V u a 2 5 v d 2 4 i I C 8 + P E V u d H J 5 I F R 5 c G U 9 I k Z p b G x M Y X N 0 V X B k Y X R l Z C I g V m F s d W U 9 I m Q y M D I 0 L T E w L T A y V D A 5 O j U 5 O j Q 2 L j g z N z g 3 O D B a I i A v P j x F b n R y e S B U e X B l P S J G a W x s Z W R D b 2 1 w b G V 0 Z V J l c 3 V s d F R v V 2 9 y a 3 N o Z W V 0 I i B W Y W x 1 Z T 0 i b D A i I C 8 + P E V u d H J 5 I F R 5 c G U 9 I k Z p b G x T d G F 0 d X M i I F Z h b H V l P S J z Q 2 9 t c G x l d G U i I C 8 + P E V u d H J 5 I F R 5 c G U 9 I k Z p b G x U b 0 R h d G F N b 2 R l b E V u Y W J s Z W Q i I F Z h b H V l P S J s M C I g L z 4 8 R W 5 0 c n k g V H l w Z T 0 i S X N Q c m l 2 Y X R l I i B W Y W x 1 Z T 0 i b D A i I C 8 + P E V u d H J 5 I F R 5 c G U 9 I l F 1 Z X J 5 R 3 J v d X B J R C I g V m F s d W U 9 I n M z M j R l Y T A 0 Y i 0 1 O W U 4 L T Q z Z D g t O T V j N y 1 i N T Y 2 N j B k N G E z N T c i I C 8 + P E V u d H J 5 I F R 5 c G U 9 I l F 1 Z X J 5 S U Q i I F Z h b H V l P S J z M z Z j N j R k N z A t Z D Q 2 M S 0 0 N j R i L T h m N T k t Y z Y x O T c x M W M 3 Y m Z k I i A v P j x F b n R y e S B U e X B l P S J S Z X N 1 b H R U e X B l I i B W Y W x 1 Z T 0 i c 0 Z 1 b m N 0 a W 9 u I i A v P j x F b n R y e S B U e X B l P S J G a W x s T 2 J q Z W N 0 V H l w Z S I g V m F s d W U 9 I n N D b 2 5 u Z W N 0 a W 9 u T 2 5 s e S I g L z 4 8 R W 5 0 c n k g V H l w Z T 0 i T G 9 h Z F R v U m V w b 3 J 0 R G l z Y W J s Z W Q i I F Z h b H V l P S J s M S I g L z 4 8 L 1 N 0 Y W J s Z U V u d H J p Z X M + P C 9 J d G V t P j x J d G V t P j x J d G V t T G 9 j Y X R p b 2 4 + P E l 0 Z W 1 U e X B l P k Z v c m 1 1 b G E 8 L 0 l 0 Z W 1 U e X B l P j x J d G V t U G F 0 a D 5 T Z W N 0 a W 9 u M S 9 G U 0 Q v Q n J v b j w v S X R l b V B h d G g + P C 9 J d G V t T G 9 j Y X R p b 2 4 + P F N 0 Y W J s Z U V u d H J p Z X M g L z 4 8 L 0 l 0 Z W 0 + P E l 0 Z W 0 + P E l 0 Z W 1 M b 2 N h d G l v b j 4 8 S X R l b V R 5 c G U + R m 9 y b X V s Y T w v S X R l b V R 5 c G U + P E l 0 Z W 1 Q Y X R o P l N l Y 3 R p b 2 4 x L 0 Z T R C 9 I Z W F k Z X J z J T I w b W V 0 J T I w d m V y a G 9 v Z 2 Q l M j B u a X Z l Y X U 8 L 0 l 0 Z W 1 Q Y X R o P j w v S X R l b U x v Y 2 F 0 a W 9 u P j x T d G F i b G V F b n R y a W V z I C 8 + P C 9 J d G V t P j x J d G V t P j x J d G V t T G 9 j Y X R p b 2 4 + P E l 0 Z W 1 U e X B l P k Z v c m 1 1 b G E 8 L 0 l 0 Z W 1 U e X B l P j x J d G V t U G F 0 a D 5 T Z W N 0 a W 9 u M S 9 G U 0 Q v S 2 9 s b 2 1 t Z W 4 l M j B 2 Z X J 3 a W p k Z X J k P C 9 J d G V t U G F 0 a D 4 8 L 0 l 0 Z W 1 M b 2 N h d G l v b j 4 8 U 3 R h Y m x l R W 5 0 c m l l c y A v P j w v S X R l b T 4 8 S X R l b T 4 8 S X R l b U x v Y 2 F 0 a W 9 u P j x J d G V t V H l w Z T 5 G b 3 J t d W x h P C 9 J d G V t V H l w Z T 4 8 S X R l b V B h d G g + U 2 V j d G l v b j E v R l N E L 1 Z v b G d v c m R l J T I w d m F u J T I w a 2 9 s b 2 1 t Z W 4 l M j B n Z X d p a n p p Z 2 Q 8 L 0 l 0 Z W 1 Q Y X R o P j w v S X R l b U x v Y 2 F 0 a W 9 u P j x T d G F i b G V F b n R y a W V z I C 8 + P C 9 J d G V t P j x J d G V t P j x J d G V t T G 9 j Y X R p b 2 4 + P E l 0 Z W 1 U e X B l P k Z v c m 1 1 b G E 8 L 0 l 0 Z W 1 U e X B l P j x J d G V t U G F 0 a D 5 T Z W N 0 a W 9 u M S 9 G U 0 Q v T m F t Z W 4 l M j B 2 Y W 4 l M j B r b 2 x v b W 1 l b i U y M G d l d 2 l q e m l n Z D w v S X R l b V B h d G g + P C 9 J d G V t T G 9 j Y X R p b 2 4 + P F N 0 Y W J s Z U V u d H J p Z X M g L z 4 8 L 0 l 0 Z W 0 + P E l 0 Z W 0 + P E l 0 Z W 1 M b 2 N h d G l v b j 4 8 S X R l b V R 5 c G U + R m 9 y b X V s Y T w v S X R l b V R 5 c G U + P E l 0 Z W 1 Q Y X R o P l N l Y 3 R p b 2 4 x L 0 Z T R C 9 L b 2 x v b S U y M H N w b G l 0 c 2 V u J T I w b 3 A l M j B z Y 2 h l a W R p b m d z d G V r Z W 4 8 L 0 l 0 Z W 1 Q Y X R o P j w v S X R l b U x v Y 2 F 0 a W 9 u P j x T d G F i b G V F b n R y a W V z I C 8 + P C 9 J d G V t P j x J d G V t P j x J d G V t T G 9 j Y X R p b 2 4 + P E l 0 Z W 1 U e X B l P k Z v c m 1 1 b G E 8 L 0 l 0 Z W 1 U e X B l P j x J d G V t U G F 0 a D 5 T Z W N 0 a W 9 u M S 9 G U 0 Q v S 2 9 s b 2 1 t Z W 4 l M j B z Y W 1 l b m d l d m 9 l Z 2 Q 8 L 0 l 0 Z W 1 Q Y X R o P j w v S X R l b U x v Y 2 F 0 a W 9 u P j x T d G F i b G V F b n R y a W V z I C 8 + P C 9 J d G V t P j x J d G V t P j x J d G V t T G 9 j Y X R p b 2 4 + P E l 0 Z W 1 U e X B l P k Z v c m 1 1 b G E 8 L 0 l 0 Z W 1 U e X B l P j x J d G V t U G F 0 a D 5 T Z W N 0 a W 9 u M S 9 L R F J 2 T k I v Q n J v b j w v S X R l b V B h d G g + P C 9 J d G V t T G 9 j Y X R p b 2 4 + P F N 0 Y W J s Z U V u d H J p Z X M g L z 4 8 L 0 l 0 Z W 0 + P E l 0 Z W 0 + P E l 0 Z W 1 M b 2 N h d G l v b j 4 8 S X R l b V R 5 c G U + R m 9 y b X V s Y T w v S X R l b V R 5 c G U + P E l 0 Z W 1 Q Y X R o P l N l Y 3 R p b 2 4 x L 0 t E U n Z O Q i 9 I Z W F k Z X J z J T I w b W V 0 J T I w d m V y a G 9 v Z 2 Q l M j B u a X Z l Y X U 8 L 0 l 0 Z W 1 Q Y X R o P j w v S X R l b U x v Y 2 F 0 a W 9 u P j x T d G F i b G V F b n R y a W V z I C 8 + P C 9 J d G V t P j x J d G V t P j x J d G V t T G 9 j Y X R p b 2 4 + P E l 0 Z W 1 U e X B l P k Z v c m 1 1 b G E 8 L 0 l 0 Z W 1 U e X B l P j x J d G V t U G F 0 a D 5 T Z W N 0 a W 9 u M S 9 L R F J 2 T k I v S 2 9 s b 2 1 t Z W 4 l M j B 2 Z X J 3 a W p k Z X J k P C 9 J d G V t U G F 0 a D 4 8 L 0 l 0 Z W 1 M b 2 N h d G l v b j 4 8 U 3 R h Y m x l R W 5 0 c m l l c y A v P j w v S X R l b T 4 8 S X R l b T 4 8 S X R l b U x v Y 2 F 0 a W 9 u P j x J d G V t V H l w Z T 5 G b 3 J t d W x h P C 9 J d G V t V H l w Z T 4 8 S X R l b V B h d G g + U 2 V j d G l v b j E v S 0 R S d k 5 C L 1 Z v b G d v c m R l J T I w d m F u J T I w a 2 9 s b 2 1 t Z W 4 l M j B n Z X d p a n p p Z 2 Q 8 L 0 l 0 Z W 1 Q Y X R o P j w v S X R l b U x v Y 2 F 0 a W 9 u P j x T d G F i b G V F b n R y a W V z I C 8 + P C 9 J d G V t P j x J d G V t P j x J d G V t T G 9 j Y X R p b 2 4 + P E l 0 Z W 1 U e X B l P k Z v c m 1 1 b G E 8 L 0 l 0 Z W 1 U e X B l P j x J d G V t U G F 0 a D 5 T Z W N 0 a W 9 u M S 9 L R F J 2 T k I v T m F t Z W 4 l M j B 2 Y W 4 l M j B r b 2 x v b W 1 l b i U y M G d l d 2 l q e m l n Z D w v S X R l b V B h d G g + P C 9 J d G V t T G 9 j Y X R p b 2 4 + P F N 0 Y W J s Z U V u d H J p Z X M g L z 4 8 L 0 l 0 Z W 0 + P E l 0 Z W 0 + P E l 0 Z W 1 M b 2 N h d G l v b j 4 8 S X R l b V R 5 c G U + R m 9 y b X V s Y T w v S X R l b V R 5 c G U + P E l 0 Z W 1 Q Y X R o P l N l Y 3 R p b 2 4 x L 0 t E U n Z O Q i 9 L b 2 x v b S U y M H N w b G l 0 c 2 V u J T I w b 3 A l M j B z Y 2 h l a W R p b m d z d G V r Z W 4 8 L 0 l 0 Z W 1 Q Y X R o P j w v S X R l b U x v Y 2 F 0 a W 9 u P j x T d G F i b G V F b n R y a W V z I C 8 + P C 9 J d G V t P j x J d G V t P j x J d G V t T G 9 j Y X R p b 2 4 + P E l 0 Z W 1 U e X B l P k Z v c m 1 1 b G E 8 L 0 l 0 Z W 1 U e X B l P j x J d G V t U G F 0 a D 5 T Z W N 0 a W 9 u M S 9 L R F J 2 T k I v S 2 9 s b 2 1 t Z W 4 l M j B z Y W 1 l b m d l d m 9 l Z 2 Q 8 L 0 l 0 Z W 1 Q Y X R o P j w v S X R l b U x v Y 2 F 0 a W 9 u P j x T d G F i b G V F b n R y a W V z I C 8 + P C 9 J d G V t P j x J d G V t P j x J d G V t T G 9 j Y X R p b 2 4 + P E l 0 Z W 1 U e X B l P k Z v c m 1 1 b G E 8 L 0 l 0 Z W 1 U e X B l P j x J d G V t U G F 0 a D 5 T Z W N 0 a W 9 u M S 9 W b 2 9 y Y m V l b G R i Z X N 0 Y W 5 k L 0 J y b 2 4 8 L 0 l 0 Z W 1 Q Y X R o P j w v S X R l b U x v Y 2 F 0 a W 9 u P j x T d G F i b G V F b n R y a W V z I C 8 + P C 9 J d G V t P j x J d G V t P j x J d G V t T G 9 j Y X R p b 2 4 + P E l 0 Z W 1 U e X B l P k Z v c m 1 1 b G E 8 L 0 l 0 Z W 1 U e X B l P j x J d G V t U G F 0 a D 5 T Z W N 0 a W 9 u M S 9 W b 2 9 y Y m V l b G R i Z X N 0 Y W 5 k L 0 5 h d m l n Y X R p Z T E 8 L 0 l 0 Z W 1 Q Y X R o P j w v S X R l b U x v Y 2 F 0 a W 9 u P j x T d G F i b G V F b n R y a W V z I C 8 + P C 9 J d G V t P j x J d G V t P j x J d G V t T G 9 j Y X R p b 2 4 + P E l 0 Z W 1 U e X B l P k Z v c m 1 1 b G E 8 L 0 l 0 Z W 1 U e X B l P j x J d G V t U G F 0 a D 5 T Z W N 0 a W 9 u M S 9 W b 2 9 y Y m V l b G R i Z X N 0 Y W 5 k J T I w d H J h b n N m b 3 J t Z X J l b i 9 C c m 9 u P C 9 J d G V t U G F 0 a D 4 8 L 0 l 0 Z W 1 M b 2 N h d G l v b j 4 8 U 3 R h Y m x l R W 5 0 c m l l c y A v P j w v S X R l b T 4 8 S X R l b T 4 8 S X R l b U x v Y 2 F 0 a W 9 u P j x J d G V t V H l w Z T 5 G b 3 J t d W x h P C 9 J d G V t V H l w Z T 4 8 S X R l b V B h d G g + U 2 V j d G l v b j E v V m 9 v c m J l Z W x k Y m V z d G F u Z C U y M H R y Y W 5 z Z m 9 y b W V y Z W 4 v S G V h Z G V y c y U y M G 1 l d C U y M H Z l c m h v b 2 d k J T I w b m l 2 Z W F 1 P C 9 J d G V t U G F 0 a D 4 8 L 0 l 0 Z W 1 M b 2 N h d G l v b j 4 8 U 3 R h Y m x l R W 5 0 c m l l c y A v P j w v S X R l b T 4 8 S X R l b T 4 8 S X R l b U x v Y 2 F 0 a W 9 u P j x J d G V t V H l w Z T 5 G b 3 J t d W x h P C 9 J d G V t V H l w Z T 4 8 S X R l b V B h d G g + U 2 V j d G l v b j E v V m 9 v c m J l Z W x k Y m V z d G F u Z C U y M C U y O D I l M j k v Q n J v b j w v S X R l b V B h d G g + P C 9 J d G V t T G 9 j Y X R p b 2 4 + P F N 0 Y W J s Z U V u d H J p Z X M g L z 4 8 L 0 l 0 Z W 0 + P E l 0 Z W 0 + P E l 0 Z W 1 M b 2 N h d G l v b j 4 8 S X R l b V R 5 c G U + R m 9 y b X V s Y T w v S X R l b V R 5 c G U + P E l 0 Z W 1 Q Y X R o P l N l Y 3 R p b 2 4 x L 1 Z v b 3 J i Z W V s Z G J l c 3 R h b m Q l M j A l M j g y J T I 5 L 0 5 h d m l n Y X R p Z T E 8 L 0 l 0 Z W 1 Q Y X R o P j w v S X R l b U x v Y 2 F 0 a W 9 u P j x T d G F i b G V F b n R y a W V z I C 8 + P C 9 J d G V t P j x J d G V t P j x J d G V t T G 9 j Y X R p b 2 4 + P E l 0 Z W 1 U e X B l P k Z v c m 1 1 b G E 8 L 0 l 0 Z W 1 U e X B l P j x J d G V t U G F 0 a D 5 T Z W N 0 a W 9 u M S 9 W b 2 9 y Y m V l b G R i Z X N 0 Y W 5 k J T I w d H J h b n N m b 3 J t Z X J l b i U y M C U y O D I l M j k v Q n J v b j w v S X R l b V B h d G g + P C 9 J d G V t T G 9 j Y X R p b 2 4 + P F N 0 Y W J s Z U V u d H J p Z X M g L z 4 8 L 0 l 0 Z W 0 + P E l 0 Z W 0 + P E l 0 Z W 1 M b 2 N h d G l v b j 4 8 S X R l b V R 5 c G U + R m 9 y b X V s Y T w v S X R l b V R 5 c G U + P E l 0 Z W 1 Q Y X R o P l N l Y 3 R p b 2 4 x L 1 Z v b 3 J i Z W V s Z G J l c 3 R h b m Q l M j B 0 c m F u c 2 Z v c m 1 l c m V u J T I w J T I 4 M i U y O S 9 I Z W F k Z X J z J T I w b W V 0 J T I w d m V y a G 9 v Z 2 Q l M j B u a X Z l Y X U 8 L 0 l 0 Z W 1 Q Y X R o P j w v S X R l b U x v Y 2 F 0 a W 9 u P j x T d G F i b G V F b n R y a W V z I C 8 + P C 9 J d G V t P j x J d G V t P j x J d G V t T G 9 j Y X R p b 2 4 + P E l 0 Z W 1 U e X B l P k Z v c m 1 1 b G E 8 L 0 l 0 Z W 1 U e X B l P j x J d G V t U G F 0 a D 5 T Z W N 0 a W 9 u M S 9 L R F J 2 T k I v V 2 F h c m R l J T I w a X M l M j B 2 Z X J 2 Y W 5 n Z W 4 8 L 0 l 0 Z W 1 Q Y X R o P j w v S X R l b U x v Y 2 F 0 a W 9 u P j x T d G F i b G V F b n R y a W V z I C 8 + P C 9 J d G V t P j x J d G V t P j x J d G V t T G 9 j Y X R p b 2 4 + P E l 0 Z W 1 U e X B l P k Z v c m 1 1 b G E 8 L 0 l 0 Z W 1 U e X B l P j x J d G V t U G F 0 a D 5 T Z W N 0 a W 9 u M S 9 G U 0 Q v V 2 F h c m R l J T I w a X M l M j B 2 Z X J 2 Y W 5 n Z W 4 8 L 0 l 0 Z W 1 Q Y X R o P j w v S X R l b U x v Y 2 F 0 a W 9 u P j x T d G F i b G V F b n R y a W V z I C 8 + P C 9 J d G V t P j x J d G V t P j x J d G V t T G 9 j Y X R p b 2 4 + P E l 0 Z W 1 U e X B l P k Z v c m 1 1 b G E 8 L 0 l 0 Z W 1 U e X B l P j x J d G V t U G F 0 a D 5 T Z W N 0 a W 9 u M S 9 L R F J 2 T k I v V 2 F h c m R l J T I w a X M l M j B 2 Z X J 2 Y W 5 n Z W 4 l M j A x P C 9 J d G V t U G F 0 a D 4 8 L 0 l 0 Z W 1 M b 2 N h d G l v b j 4 8 U 3 R h Y m x l R W 5 0 c m l l c y A v P j w v S X R l b T 4 8 S X R l b T 4 8 S X R l b U x v Y 2 F 0 a W 9 u P j x J d G V t V H l w Z T 5 G b 3 J t d W x h P C 9 J d G V t V H l w Z T 4 8 S X R l b V B h d G g + U 2 V j d G l v b j E v R l N E L 1 d h Y X J k Z S U y M G l z J T I w d m V y d m F u Z 2 V u J T I w M T w v S X R l b V B h d G g + P C 9 J d G V t T G 9 j Y X R p b 2 4 + P F N 0 Y W J s Z U V u d H J p Z X M g L z 4 8 L 0 l 0 Z W 0 + P E l 0 Z W 0 + P E l 0 Z W 1 M b 2 N h d G l v b j 4 8 S X R l b V R 5 c G U + Q W x s R m 9 y b X V s Y X M 8 L 0 l 0 Z W 1 U e X B l P j x J d G V t U G F 0 a C A v P j w v S X R l b U x v Y 2 F 0 a W 9 u P j x T d G F i b G V F b n R y a W V z P j x F b n R y e S B U e X B l P S J R d W V y e U d y b 3 V w c y I g V m F s d W U 9 I n N C Q U F B Q U F B Q U F B Q 0 8 1 R D F R S T Q z b l J x e D V V b T B o Y n M x b E x V S m x j M 1 J o Y m 1 R Z 2 R t R n V J R U p w W l d 4 b G J X R n V k S E p s W m 1 a b G J p Q W 9 N a W t n Z E h K a G J u T m 1 i M 0 p 0 W l h K b G J n Q U F B Q U F B Q U F B Q U F B Q 0 x D N F R H N W w 4 d 1 N v R 3 J 4 W W Z y Z 2 t l c E R r a G x i S E J s Y 2 k x e G R X V n l l U 2 R 6 Q U F H T z V E M V F J N D N u U n F 4 N V V t M G h i c z F s Q U F B Q U F B Q U F B Q U Q 5 U 2 x n b z V H V D B R b 0 t C K z d p T 0 l 6 R j F L V U p s Y z N S a G J t U W d k b U Z 1 S U V K c F p X e G x i V 0 Z 1 Z E h K b F p t W m x i a U I w Y 2 1 G d W M y W n Z j b T F s Y 2 1 W d U F B Q U N B Q U F B Q U F B Q U F F d W d U a k x v V 2 R o R G x j Z T F a b U R V b z F j T 1 N H V n N j R 1 Z 5 T F h G M V p Y S j V K M 0 1 B Q W Y x S 1 d D a m t a U F J D Z 2 9 I N 3 V J N G p N W F V B Q U F B Q S I g L z 4 8 R W 5 0 c n k g V H l w Z T 0 i U m V s Y X R p b 2 5 z a G l w c y I g V m F s d W U 9 I n N B Q U F B Q U E 9 P S I g L z 4 8 R W 5 0 c n k g V H l w Z T 0 i S X N U e X B l R G V 0 Z W N 0 a W 9 u R W 5 h Y m x l Z C I g V m F s d W U 9 I n N U c n V l I i A v P j w v U 3 R h Y m x l R W 5 0 c m l l c z 4 8 L 0 l 0 Z W 0 + P E l 0 Z W 0 + P E l 0 Z W 1 M b 2 N h d G l v b j 4 8 S X R l b V R 5 c G U + R m 9 y b X V s Y T w v S X R l b V R 5 c G U + P E l 0 Z W 1 Q Y X R o P l N l Y 3 R p b 2 4 x L 0 d L V k k 8 L 0 l 0 Z W 1 Q Y X R o P j w v S X R l b U x v Y 2 F 0 a W 9 u P j x T d G F i b G V F b n R y a W V z P j x F b n R y e S B U e X B l P S J J c 1 B y a X Z h d G U i I F Z h b H V l P S J s M C I g L z 4 8 R W 5 0 c n k g V H l w Z T 0 i T G 9 h Z F R v U m V w b 3 J 0 R G l z Y W J s Z W Q i I F Z h b H V l P S J s M C I g L z 4 8 R W 5 0 c n k g V H l w Z T 0 i R m l s b E V u Y W J s Z W Q i I F Z h b H V l P S J s M S I g L z 4 8 R W 5 0 c n k g V H l w Z T 0 i R m l s b E 9 i a m V j d F R 5 c G U i I F Z h b H V l P S J z V G F i b G U i I C 8 + P E V u d H J 5 I F R 5 c G U 9 I k Z p b G x U b 0 R h d G F N b 2 R l b E V u Y W J s Z W Q i I F Z h b H V l P S J s M C I g L z 4 8 R W 5 0 c n k g V H l w Z T 0 i U X V l c n l J R C I g V m F s d W U 9 I n M 1 Y z h h N W U 2 M y 0 x M T g 0 L T Q z N W Y t O T M y Z i 1 h O G E y Y j R h O W M 4 N 2 M i I C 8 + P E V u d H J 5 I F R 5 c G U 9 I k J 1 Z m Z l c k 5 l e H R S Z W Z y Z X N o I i B W Y W x 1 Z T 0 i b D E i I C 8 + P E V u d H J 5 I F R 5 c G U 9 I l J l c 3 V s d F R 5 c G U i I F Z h b H V l P S J z V G F i b G U i I C 8 + P E V u d H J 5 I F R 5 c G U 9 I k 5 h b W V V c G R h d G V k Q W Z 0 Z X J G a W x s I i B W Y W x 1 Z T 0 i b D A i I C 8 + P E V u d H J 5 I F R 5 c G U 9 I k Z p b G x U Y X J n Z X Q i I F Z h b H V l P S J z R 0 t W S S I g L z 4 8 R W 5 0 c n k g V H l w Z T 0 i R m l s b G V k Q 2 9 t c G x l d G V S Z X N 1 b H R U b 1 d v c m t z a G V l d C I g V m F s d W U 9 I m w x I i A v P j x F b n R y e S B U e X B l P S J G a W x s V G F y Z 2 V 0 T m F t Z U N 1 c 3 R v b W l 6 Z W Q i I F Z h b H V l P S J s M S I g L z 4 8 R W 5 0 c n k g V H l w Z T 0 i R m l s b E x h c 3 R V c G R h d G V k I i B W Y W x 1 Z T 0 i Z D I w M j Y t M D I t M D h U M T A 6 M T g 6 N D E u O T I 5 N z c 2 M F o i I C 8 + P E V u d H J 5 I F R 5 c G U 9 I k Z p b G x F c n J v c k N v d W 5 0 I i B W Y W x 1 Z T 0 i b D A i I C 8 + P E V u d H J 5 I F R 5 c G U 9 I k Z p b G x D b 2 x 1 b W 5 U e X B l c y I g V m F s d W U 9 I n N B d 2 N H Q m d Z R E F 3 T U R B d 0 1 E Q X d N R E F 3 T U R C Z 2 M 9 I i A v P j x F b n R y e S B U e X B l P S J G a W x s R X J y b 3 J D b 2 R l I i B W Y W x 1 Z T 0 i c 1 V u a 2 5 v d 2 4 i I C 8 + P E V u d H J 5 I F R 5 c G U 9 I k Z p b G x D b 3 V u d C I g V m F s d W U 9 I m w z N C I g L z 4 8 R W 5 0 c n k g V H l w Z T 0 i R m l s b E N v b H V t b k 5 h b W V z I i B W Y W x 1 Z T 0 i c 1 s m c X V v d D t J b n p l b m R p b m c t S U Q m c X V v d D s s J n F 1 b 3 Q 7 S W 5 6 Z W 5 k Z G F 0 d W 0 m c X V v d D s s J n F 1 b 3 Q 7 R 0 t W S S Z x d W 9 0 O y w m c X V v d D t W Z X J l b m l n a W 5 n c 2 5 1 b W 1 l c i Z x d W 9 0 O y w m c X V v d D t O Y W F t I H Z l c m V u a W d p b m c m c X V v d D s s J n F 1 b 3 Q 7 S 2 9 y c H M g a 2 x h c 3 N p Z W s g c 2 V u a W 9 y Z W 4 m c X V v d D s s J n F 1 b 3 Q 7 S 2 9 y c H M g M S B r b G F z c 2 l l a y B q d W 5 p b 3 J l b i Z x d W 9 0 O y w m c X V v d D t L b 3 J w c y A y I G t s Y X N z a W V r I G p 1 b m l v c m V u J n F 1 b 3 Q 7 L C Z x d W 9 0 O 0 t v c n B z I D E g a 2 x h c 3 N p Z W s g Y X N w a X J h b n R l b i Z x d W 9 0 O y w m c X V v d D t L b 3 J w c y A y I G t s Y X N z a W V r I G F z c G l y Y W 5 0 Z W 4 m c X V v d D s s J n F 1 b 3 Q 7 S 2 9 y c H M g Y W N y b 2 I u I H N l b m l v c m V u J n F 1 b 3 Q 7 L C Z x d W 9 0 O 0 t v c n B z I G F j c m 9 i L i B q d W 5 p b 3 J l b i Z x d W 9 0 O y w m c X V v d D t L b 3 J w c y B h Y 3 J v Y i 4 g Y X N w a X J h b n R l b i Z x d W 9 0 O y w m c X V v d D t B Y 3 J v Y i 4 g c 2 V u a W 9 y Z W 4 g a W 5 k a X Y u J n F 1 b 3 Q 7 L C Z x d W 9 0 O 0 F j c m 9 i L i B q d W 5 p b 3 J l b i B p b m R p d i 4 m c X V v d D s s J n F 1 b 3 Q 7 Q W N y b 2 I u I G F z c G l y Y W 5 0 Z W 4 g a W 5 k a X Y u J n F 1 b 3 Q 7 L C Z x d W 9 0 O 0 F h b n R h b C B k Z W V s b m V t Z X J z J n F 1 b 3 Q 7 L C Z x d W 9 0 O 0 h p Z X J 2 Y W 4 g a X M g Y X N w a X J h b n Q m c X V v d D s s J n F 1 b 3 Q 7 T 3 B t Z X J r a W 5 n Z W 4 m c X V v d D s s J n F 1 b 3 Q 7 R G F 0 Z S B V c G R h d G V k J n F 1 b 3 Q 7 X S I g L z 4 8 R W 5 0 c n k g V H l w Z T 0 i R m l s b F N 0 Y X R 1 c y I g V m F s d W U 9 I n N D b 2 1 w b G V 0 Z S I g L z 4 8 R W 5 0 c n k g V H l w Z T 0 i Q W R k Z W R U b 0 R h d G F N b 2 R l b C I g V m F s d W U 9 I m w w I i A v P j x F b n R y e S B U e X B l P S J S Z W x h d G l v b n N o a X B J b m Z v Q 2 9 u d G F p b m V y I i B W Y W x 1 Z T 0 i c 3 s m c X V v d D t j b 2 x 1 b W 5 D b 3 V u d C Z x d W 9 0 O z o y M C w m c X V v d D t r Z X l D b 2 x 1 b W 5 O Y W 1 l c y Z x d W 9 0 O z p b X S w m c X V v d D t x d W V y e V J l b G F 0 a W 9 u c 2 h p c H M m c X V v d D s 6 W 1 0 s J n F 1 b 3 Q 7 Y 2 9 s d W 1 u S W R l b n R p d G l l c y Z x d W 9 0 O z p b J n F 1 b 3 Q 7 U 2 V j d G l v b j E v R 0 t W S S 9 B d X R v U m V t b 3 Z l Z E N v b H V t b n M x L n t J b n p l b m R p b m c t S U Q s M H 0 m c X V v d D s s J n F 1 b 3 Q 7 U 2 V j d G l v b j E v R 0 t W S S 9 B d X R v U m V t b 3 Z l Z E N v b H V t b n M x L n t J b n p l b m R k Y X R 1 b S w x f S Z x d W 9 0 O y w m c X V v d D t T Z W N 0 a W 9 u M S 9 H S 1 Z J L 0 F 1 d G 9 S Z W 1 v d m V k Q 2 9 s d W 1 u c z E u e 0 d L V k k s M n 0 m c X V v d D s s J n F 1 b 3 Q 7 U 2 V j d G l v b j E v R 0 t W S S 9 B d X R v U m V t b 3 Z l Z E N v b H V t b n M x L n t W Z X J l b m l n a W 5 n c 2 5 1 b W 1 l c i w z f S Z x d W 9 0 O y w m c X V v d D t T Z W N 0 a W 9 u M S 9 H S 1 Z J L 0 F 1 d G 9 S Z W 1 v d m V k Q 2 9 s d W 1 u c z E u e 0 5 h Y W 0 g d m V y Z W 5 p Z 2 l u Z y w 0 f S Z x d W 9 0 O y w m c X V v d D t T Z W N 0 a W 9 u M S 9 H S 1 Z J L 0 F 1 d G 9 S Z W 1 v d m V k Q 2 9 s d W 1 u c z E u e 0 t v c n B z I G t s Y X N z a W V r I H N l b m l v c m V u L D V 9 J n F 1 b 3 Q 7 L C Z x d W 9 0 O 1 N l Y 3 R p b 2 4 x L 0 d L V k k v Q X V 0 b 1 J l b W 9 2 Z W R D b 2 x 1 b W 5 z M S 5 7 S 2 9 y c H M g M S B r b G F z c 2 l l a y B q d W 5 p b 3 J l b i w 2 f S Z x d W 9 0 O y w m c X V v d D t T Z W N 0 a W 9 u M S 9 H S 1 Z J L 0 F 1 d G 9 S Z W 1 v d m V k Q 2 9 s d W 1 u c z E u e 0 t v c n B z I D I g a 2 x h c 3 N p Z W s g a n V u a W 9 y Z W 4 s N 3 0 m c X V v d D s s J n F 1 b 3 Q 7 U 2 V j d G l v b j E v R 0 t W S S 9 B d X R v U m V t b 3 Z l Z E N v b H V t b n M x L n t L b 3 J w c y A x I G t s Y X N z a W V r I G F z c G l y Y W 5 0 Z W 4 s O H 0 m c X V v d D s s J n F 1 b 3 Q 7 U 2 V j d G l v b j E v R 0 t W S S 9 B d X R v U m V t b 3 Z l Z E N v b H V t b n M x L n t L b 3 J w c y A y I G t s Y X N z a W V r I G F z c G l y Y W 5 0 Z W 4 s O X 0 m c X V v d D s s J n F 1 b 3 Q 7 U 2 V j d G l v b j E v R 0 t W S S 9 B d X R v U m V t b 3 Z l Z E N v b H V t b n M x L n t L b 3 J w c y B h Y 3 J v Y i 4 g c 2 V u a W 9 y Z W 4 s M T B 9 J n F 1 b 3 Q 7 L C Z x d W 9 0 O 1 N l Y 3 R p b 2 4 x L 0 d L V k k v Q X V 0 b 1 J l b W 9 2 Z W R D b 2 x 1 b W 5 z M S 5 7 S 2 9 y c H M g Y W N y b 2 I u I G p 1 b m l v c m V u L D E x f S Z x d W 9 0 O y w m c X V v d D t T Z W N 0 a W 9 u M S 9 H S 1 Z J L 0 F 1 d G 9 S Z W 1 v d m V k Q 2 9 s d W 1 u c z E u e 0 t v c n B z I G F j c m 9 i L i B h c 3 B p c m F u d G V u L D E y f S Z x d W 9 0 O y w m c X V v d D t T Z W N 0 a W 9 u M S 9 H S 1 Z J L 0 F 1 d G 9 S Z W 1 v d m V k Q 2 9 s d W 1 u c z E u e 0 F j c m 9 i L i B z Z W 5 p b 3 J l b i B p b m R p d i 4 s M T N 9 J n F 1 b 3 Q 7 L C Z x d W 9 0 O 1 N l Y 3 R p b 2 4 x L 0 d L V k k v Q X V 0 b 1 J l b W 9 2 Z W R D b 2 x 1 b W 5 z M S 5 7 Q W N y b 2 I u I G p 1 b m l v c m V u I G l u Z G l 2 L i w x N H 0 m c X V v d D s s J n F 1 b 3 Q 7 U 2 V j d G l v b j E v R 0 t W S S 9 B d X R v U m V t b 3 Z l Z E N v b H V t b n M x L n t B Y 3 J v Y i 4 g Y X N w a X J h b n R l b i B p b m R p d i 4 s M T V 9 J n F 1 b 3 Q 7 L C Z x d W 9 0 O 1 N l Y 3 R p b 2 4 x L 0 d L V k k v Q X V 0 b 1 J l b W 9 2 Z W R D b 2 x 1 b W 5 z M S 5 7 Q W F u d G F s I G R l Z W x u Z W 1 l c n M s M T Z 9 J n F 1 b 3 Q 7 L C Z x d W 9 0 O 1 N l Y 3 R p b 2 4 x L 0 d L V k k v Q X V 0 b 1 J l b W 9 2 Z W R D b 2 x 1 b W 5 z M S 5 7 S G l l c n Z h b i B p c y B h c 3 B p c m F u d C w x N 3 0 m c X V v d D s s J n F 1 b 3 Q 7 U 2 V j d G l v b j E v R 0 t W S S 9 B d X R v U m V t b 3 Z l Z E N v b H V t b n M x L n t P c G 1 l c m t p b m d l b i w x O H 0 m c X V v d D s s J n F 1 b 3 Q 7 U 2 V j d G l v b j E v R 0 t W S S 9 B d X R v U m V t b 3 Z l Z E N v b H V t b n M x L n t E Y X R l I F V w Z G F 0 Z W Q s M T l 9 J n F 1 b 3 Q 7 X S w m c X V v d D t D b 2 x 1 b W 5 D b 3 V u d C Z x d W 9 0 O z o y M C w m c X V v d D t L Z X l D b 2 x 1 b W 5 O Y W 1 l c y Z x d W 9 0 O z p b X S w m c X V v d D t D b 2 x 1 b W 5 J Z G V u d G l 0 a W V z J n F 1 b 3 Q 7 O l s m c X V v d D t T Z W N 0 a W 9 u M S 9 H S 1 Z J L 0 F 1 d G 9 S Z W 1 v d m V k Q 2 9 s d W 1 u c z E u e 0 l u e m V u Z G l u Z y 1 J R C w w f S Z x d W 9 0 O y w m c X V v d D t T Z W N 0 a W 9 u M S 9 H S 1 Z J L 0 F 1 d G 9 S Z W 1 v d m V k Q 2 9 s d W 1 u c z E u e 0 l u e m V u Z G R h d H V t L D F 9 J n F 1 b 3 Q 7 L C Z x d W 9 0 O 1 N l Y 3 R p b 2 4 x L 0 d L V k k v Q X V 0 b 1 J l b W 9 2 Z W R D b 2 x 1 b W 5 z M S 5 7 R 0 t W S S w y f S Z x d W 9 0 O y w m c X V v d D t T Z W N 0 a W 9 u M S 9 H S 1 Z J L 0 F 1 d G 9 S Z W 1 v d m V k Q 2 9 s d W 1 u c z E u e 1 Z l c m V u a W d p b m d z b n V t b W V y L D N 9 J n F 1 b 3 Q 7 L C Z x d W 9 0 O 1 N l Y 3 R p b 2 4 x L 0 d L V k k v Q X V 0 b 1 J l b W 9 2 Z W R D b 2 x 1 b W 5 z M S 5 7 T m F h b S B 2 Z X J l b m l n a W 5 n L D R 9 J n F 1 b 3 Q 7 L C Z x d W 9 0 O 1 N l Y 3 R p b 2 4 x L 0 d L V k k v Q X V 0 b 1 J l b W 9 2 Z W R D b 2 x 1 b W 5 z M S 5 7 S 2 9 y c H M g a 2 x h c 3 N p Z W s g c 2 V u a W 9 y Z W 4 s N X 0 m c X V v d D s s J n F 1 b 3 Q 7 U 2 V j d G l v b j E v R 0 t W S S 9 B d X R v U m V t b 3 Z l Z E N v b H V t b n M x L n t L b 3 J w c y A x I G t s Y X N z a W V r I G p 1 b m l v c m V u L D Z 9 J n F 1 b 3 Q 7 L C Z x d W 9 0 O 1 N l Y 3 R p b 2 4 x L 0 d L V k k v Q X V 0 b 1 J l b W 9 2 Z W R D b 2 x 1 b W 5 z M S 5 7 S 2 9 y c H M g M i B r b G F z c 2 l l a y B q d W 5 p b 3 J l b i w 3 f S Z x d W 9 0 O y w m c X V v d D t T Z W N 0 a W 9 u M S 9 H S 1 Z J L 0 F 1 d G 9 S Z W 1 v d m V k Q 2 9 s d W 1 u c z E u e 0 t v c n B z I D E g a 2 x h c 3 N p Z W s g Y X N w a X J h b n R l b i w 4 f S Z x d W 9 0 O y w m c X V v d D t T Z W N 0 a W 9 u M S 9 H S 1 Z J L 0 F 1 d G 9 S Z W 1 v d m V k Q 2 9 s d W 1 u c z E u e 0 t v c n B z I D I g a 2 x h c 3 N p Z W s g Y X N w a X J h b n R l b i w 5 f S Z x d W 9 0 O y w m c X V v d D t T Z W N 0 a W 9 u M S 9 H S 1 Z J L 0 F 1 d G 9 S Z W 1 v d m V k Q 2 9 s d W 1 u c z E u e 0 t v c n B z I G F j c m 9 i L i B z Z W 5 p b 3 J l b i w x M H 0 m c X V v d D s s J n F 1 b 3 Q 7 U 2 V j d G l v b j E v R 0 t W S S 9 B d X R v U m V t b 3 Z l Z E N v b H V t b n M x L n t L b 3 J w c y B h Y 3 J v Y i 4 g a n V u a W 9 y Z W 4 s M T F 9 J n F 1 b 3 Q 7 L C Z x d W 9 0 O 1 N l Y 3 R p b 2 4 x L 0 d L V k k v Q X V 0 b 1 J l b W 9 2 Z W R D b 2 x 1 b W 5 z M S 5 7 S 2 9 y c H M g Y W N y b 2 I u I G F z c G l y Y W 5 0 Z W 4 s M T J 9 J n F 1 b 3 Q 7 L C Z x d W 9 0 O 1 N l Y 3 R p b 2 4 x L 0 d L V k k v Q X V 0 b 1 J l b W 9 2 Z W R D b 2 x 1 b W 5 z M S 5 7 Q W N y b 2 I u I H N l b m l v c m V u I G l u Z G l 2 L i w x M 3 0 m c X V v d D s s J n F 1 b 3 Q 7 U 2 V j d G l v b j E v R 0 t W S S 9 B d X R v U m V t b 3 Z l Z E N v b H V t b n M x L n t B Y 3 J v Y i 4 g a n V u a W 9 y Z W 4 g a W 5 k a X Y u L D E 0 f S Z x d W 9 0 O y w m c X V v d D t T Z W N 0 a W 9 u M S 9 H S 1 Z J L 0 F 1 d G 9 S Z W 1 v d m V k Q 2 9 s d W 1 u c z E u e 0 F j c m 9 i L i B h c 3 B p c m F u d G V u I G l u Z G l 2 L i w x N X 0 m c X V v d D s s J n F 1 b 3 Q 7 U 2 V j d G l v b j E v R 0 t W S S 9 B d X R v U m V t b 3 Z l Z E N v b H V t b n M x L n t B Y W 5 0 Y W w g Z G V l b G 5 l b W V y c y w x N n 0 m c X V v d D s s J n F 1 b 3 Q 7 U 2 V j d G l v b j E v R 0 t W S S 9 B d X R v U m V t b 3 Z l Z E N v b H V t b n M x L n t I a W V y d m F u I G l z I G F z c G l y Y W 5 0 L D E 3 f S Z x d W 9 0 O y w m c X V v d D t T Z W N 0 a W 9 u M S 9 H S 1 Z J L 0 F 1 d G 9 S Z W 1 v d m V k Q 2 9 s d W 1 u c z E u e 0 9 w b W V y a 2 l u Z 2 V u L D E 4 f S Z x d W 9 0 O y w m c X V v d D t T Z W N 0 a W 9 u M S 9 H S 1 Z J L 0 F 1 d G 9 S Z W 1 v d m V k Q 2 9 s d W 1 u c z E u e 0 R h d G U g V X B k Y X R l Z C w x O X 0 m c X V v d D t d L C Z x d W 9 0 O 1 J l b G F 0 a W 9 u c 2 h p c E l u Z m 8 m c X V v d D s 6 W 1 1 9 I i A v P j w v U 3 R h Y m x l R W 5 0 c m l l c z 4 8 L 0 l 0 Z W 0 + P E l 0 Z W 0 + P E l 0 Z W 1 M b 2 N h d G l v b j 4 8 S X R l b V R 5 c G U + R m 9 y b X V s Y T w v S X R l b V R 5 c G U + P E l 0 Z W 1 Q Y X R o P l N l Y 3 R p b 2 4 x L 0 d L V k k v Q n J v b j w v S X R l b V B h d G g + P C 9 J d G V t T G 9 j Y X R p b 2 4 + P F N 0 Y W J s Z U V u d H J p Z X M g L z 4 8 L 0 l 0 Z W 0 + P E l 0 Z W 0 + P E l 0 Z W 1 M b 2 N h d G l v b j 4 8 S X R l b V R 5 c G U + R m 9 y b X V s Y T w v S X R l b V R 5 c G U + P E l 0 Z W 1 Q Y X R o P l N l Y 3 R p b 2 4 x L 0 d L V k k v S G V h Z G V y c y U y M G 1 l d C U y M H Z l c m h v b 2 d k J T I w b m l 2 Z W F 1 P C 9 J d G V t U G F 0 a D 4 8 L 0 l 0 Z W 1 M b 2 N h d G l v b j 4 8 U 3 R h Y m x l R W 5 0 c m l l c y A v P j w v S X R l b T 4 8 S X R l b T 4 8 S X R l b U x v Y 2 F 0 a W 9 u P j x J d G V t V H l w Z T 5 G b 3 J t d W x h P C 9 J d G V t V H l w Z T 4 8 S X R l b V B h d G g + U 2 V j d G l v b j E v R 0 t W S S 9 L b 2 x v b W 1 l b i U y M H Z l c n d p a m R l c m Q 8 L 0 l 0 Z W 1 Q Y X R o P j w v S X R l b U x v Y 2 F 0 a W 9 u P j x T d G F i b G V F b n R y a W V z I C 8 + P C 9 J d G V t P j x J d G V t P j x J d G V t T G 9 j Y X R p b 2 4 + P E l 0 Z W 1 U e X B l P k Z v c m 1 1 b G E 8 L 0 l 0 Z W 1 U e X B l P j x J d G V t U G F 0 a D 5 T Z W N 0 a W 9 u M S 9 H S 1 Z J L 1 Z v b G d v c m R l J T I w d m F u J T I w a 2 9 s b 2 1 t Z W 4 l M j B n Z X d p a n p p Z 2 Q 8 L 0 l 0 Z W 1 Q Y X R o P j w v S X R l b U x v Y 2 F 0 a W 9 u P j x T d G F i b G V F b n R y a W V z I C 8 + P C 9 J d G V t P j x J d G V t P j x J d G V t T G 9 j Y X R p b 2 4 + P E l 0 Z W 1 U e X B l P k Z v c m 1 1 b G E 8 L 0 l 0 Z W 1 U e X B l P j x J d G V t U G F 0 a D 5 T Z W N 0 a W 9 u M S 9 H S 1 Z J L 0 h l d C U y M G t v b G 9 t d H l w Z S U y M G l z J T I w Z 2 V 3 a W p 6 a W d k P C 9 J d G V t U G F 0 a D 4 8 L 0 l 0 Z W 1 M b 2 N h d G l v b j 4 8 U 3 R h Y m x l R W 5 0 c m l l c y A v P j w v S X R l b T 4 8 S X R l b T 4 8 S X R l b U x v Y 2 F 0 a W 9 u P j x J d G V t V H l w Z T 5 G b 3 J t d W x h P C 9 J d G V t V H l w Z T 4 8 S X R l b V B h d G g + U 2 V j d G l v b j E v R 0 t W S S 9 B Y W 5 n Z X B h c 3 Q l M j B p d G V t J T I w d G 9 l Z 2 V 2 b 2 V n Z D w v S X R l b V B h d G g + P C 9 J d G V t T G 9 j Y X R p b 2 4 + P F N 0 Y W J s Z U V u d H J p Z X M g L z 4 8 L 0 l 0 Z W 0 + P E l 0 Z W 0 + P E l 0 Z W 1 M b 2 N h d G l v b j 4 8 S X R l b V R 5 c G U + R m 9 y b X V s Y T w v S X R l b V R 5 c G U + P E l 0 Z W 1 Q Y X R o P l N l Y 3 R p b 2 4 x L 0 d L V k k v V m 9 v c n d h Y X J k Z W x p a m t l J T I w a 2 9 s b 2 0 l M j B p b m d l d m 9 l Z 2 Q 8 L 0 l 0 Z W 1 Q Y X R o P j w v S X R l b U x v Y 2 F 0 a W 9 u P j x T d G F i b G V F b n R y a W V z I C 8 + P C 9 J d G V t P j x J d G V t P j x J d G V t T G 9 j Y X R p b 2 4 + P E l 0 Z W 1 U e X B l P k Z v c m 1 1 b G E 8 L 0 l 0 Z W 1 U e X B l P j x J d G V t U G F 0 a D 5 T Z W N 0 a W 9 u M S 9 H S 1 Z J L 0 F h b m d l c G F z d C U y M G l 0 Z W 0 l M j B 0 b 2 V n Z X Z v Z W d k M T w v S X R l b V B h d G g + P C 9 J d G V t T G 9 j Y X R p b 2 4 + P F N 0 Y W J s Z U V u d H J p Z X M g L z 4 8 L 0 l 0 Z W 0 + P E l 0 Z W 0 + P E l 0 Z W 1 M b 2 N h d G l v b j 4 8 S X R l b V R 5 c G U + R m 9 y b X V s Y T w v S X R l b V R 5 c G U + P E l 0 Z W 1 Q Y X R o P l N l Y 3 R p b 2 4 x L 0 d L V k k v V m 9 v c n d h Y X J k Z W x p a m t l J T I w a 2 9 s b 2 0 l M j B p b m d l d m 9 l Z 2 Q x P C 9 J d G V t U G F 0 a D 4 8 L 0 l 0 Z W 1 M b 2 N h d G l v b j 4 8 U 3 R h Y m x l R W 5 0 c m l l c y A v P j w v S X R l b T 4 8 S X R l b T 4 8 S X R l b U x v Y 2 F 0 a W 9 u P j x J d G V t V H l w Z T 5 G b 3 J t d W x h P C 9 J d G V t V H l w Z T 4 8 S X R l b V B h d G g + U 2 V j d G l v b j E v R 0 t W S S 9 B Y W 5 n Z X B h c 3 Q l M j B p d G V t J T I w d G 9 l Z 2 V 2 b 2 V n Z D I 8 L 0 l 0 Z W 1 Q Y X R o P j w v S X R l b U x v Y 2 F 0 a W 9 u P j x T d G F i b G V F b n R y a W V z I C 8 + P C 9 J d G V t P j x J d G V t P j x J d G V t T G 9 j Y X R p b 2 4 + P E l 0 Z W 1 U e X B l P k Z v c m 1 1 b G E 8 L 0 l 0 Z W 1 U e X B l P j x J d G V t U G F 0 a D 5 T Z W N 0 a W 9 u M S 9 H S 1 Z J L 1 Z v b 3 J 3 Y W F y Z G V s a W p r Z S U y M G t v b G 9 t J T I w a W 5 n Z X Z v Z W d k M j w v S X R l b V B h d G g + P C 9 J d G V t T G 9 j Y X R p b 2 4 + P F N 0 Y W J s Z U V u d H J p Z X M g L z 4 8 L 0 l 0 Z W 0 + P E l 0 Z W 0 + P E l 0 Z W 1 M b 2 N h d G l v b j 4 8 S X R l b V R 5 c G U + R m 9 y b X V s Y T w v S X R l b V R 5 c G U + P E l 0 Z W 1 Q Y X R o P l N l Y 3 R p b 2 4 x L 0 d L V k k v Q W F u Z 2 V w Y X N 0 J T I w a X R l b S U y M H R v Z W d l d m 9 l Z 2 Q z P C 9 J d G V t U G F 0 a D 4 8 L 0 l 0 Z W 1 M b 2 N h d G l v b j 4 8 U 3 R h Y m x l R W 5 0 c m l l c y A v P j w v S X R l b T 4 8 S X R l b T 4 8 S X R l b U x v Y 2 F 0 a W 9 u P j x J d G V t V H l w Z T 5 G b 3 J t d W x h P C 9 J d G V t V H l w Z T 4 8 S X R l b V B h d G g + U 2 V j d G l v b j E v R 0 t W S S 9 W b 2 9 y d 2 F h c m R l b G l q a 2 U l M j B r b 2 x v b S U y M G l u Z 2 V 2 b 2 V n Z D M 8 L 0 l 0 Z W 1 Q Y X R o P j w v S X R l b U x v Y 2 F 0 a W 9 u P j x T d G F i b G V F b n R y a W V z I C 8 + P C 9 J d G V t P j x J d G V t P j x J d G V t T G 9 j Y X R p b 2 4 + P E l 0 Z W 1 U e X B l P k Z v c m 1 1 b G E 8 L 0 l 0 Z W 1 U e X B l P j x J d G V t U G F 0 a D 5 T Z W N 0 a W 9 u M S 9 H S 1 Z J L 0 F h b m d l c G F z d C U y M G l 0 Z W 0 l M j B 0 b 2 V n Z X Z v Z W d k N D w v S X R l b V B h d G g + P C 9 J d G V t T G 9 j Y X R p b 2 4 + P F N 0 Y W J s Z U V u d H J p Z X M g L z 4 8 L 0 l 0 Z W 0 + P E l 0 Z W 0 + P E l 0 Z W 1 M b 2 N h d G l v b j 4 8 S X R l b V R 5 c G U + R m 9 y b X V s Y T w v S X R l b V R 5 c G U + P E l 0 Z W 1 Q Y X R o P l N l Y 3 R p b 2 4 x L 0 d L V k k v V m 9 v c n d h Y X J k Z W x p a m t l J T I w a 2 9 s b 2 0 l M j B p b m d l d m 9 l Z 2 Q 0 P C 9 J d G V t U G F 0 a D 4 8 L 0 l 0 Z W 1 M b 2 N h d G l v b j 4 8 U 3 R h Y m x l R W 5 0 c m l l c y A v P j w v S X R l b T 4 8 S X R l b T 4 8 S X R l b U x v Y 2 F 0 a W 9 u P j x J d G V t V H l w Z T 5 G b 3 J t d W x h P C 9 J d G V t V H l w Z T 4 8 S X R l b V B h d G g + U 2 V j d G l v b j E v R 0 t W S S 9 B Y W 5 n Z X B h c 3 Q l M j B p d G V t J T I w d G 9 l Z 2 V 2 b 2 V n Z D U 8 L 0 l 0 Z W 1 Q Y X R o P j w v S X R l b U x v Y 2 F 0 a W 9 u P j x T d G F i b G V F b n R y a W V z I C 8 + P C 9 J d G V t P j x J d G V t P j x J d G V t T G 9 j Y X R p b 2 4 + P E l 0 Z W 1 U e X B l P k Z v c m 1 1 b G E 8 L 0 l 0 Z W 1 U e X B l P j x J d G V t U G F 0 a D 5 T Z W N 0 a W 9 u M S 9 H S 1 Z J L 1 Z v b 3 J 3 Y W F y Z G V s a W p r Z S U y M G t v b G 9 t J T I w a W 5 n Z X Z v Z W d k N T w v S X R l b V B h d G g + P C 9 J d G V t T G 9 j Y X R p b 2 4 + P F N 0 Y W J s Z U V u d H J p Z X M g L z 4 8 L 0 l 0 Z W 0 + P E l 0 Z W 0 + P E l 0 Z W 1 M b 2 N h d G l v b j 4 8 S X R l b V R 5 c G U + R m 9 y b X V s Y T w v S X R l b V R 5 c G U + P E l 0 Z W 1 Q Y X R o P l N l Y 3 R p b 2 4 x L 0 d L V k k v Q W F u Z 2 V w Y X N 0 J T I w a X R l b S U y M H R v Z W d l d m 9 l Z 2 Q 2 P C 9 J d G V t U G F 0 a D 4 8 L 0 l 0 Z W 1 M b 2 N h d G l v b j 4 8 U 3 R h Y m x l R W 5 0 c m l l c y A v P j w v S X R l b T 4 8 S X R l b T 4 8 S X R l b U x v Y 2 F 0 a W 9 u P j x J d G V t V H l w Z T 5 G b 3 J t d W x h P C 9 J d G V t V H l w Z T 4 8 S X R l b V B h d G g + U 2 V j d G l v b j E v R 0 t W S S 9 W b 2 9 y d 2 F h c m R l b G l q a 2 U l M j B r b 2 x v b S U y M G l u Z 2 V 2 b 2 V n Z D Y 8 L 0 l 0 Z W 1 Q Y X R o P j w v S X R l b U x v Y 2 F 0 a W 9 u P j x T d G F i b G V F b n R y a W V z I C 8 + P C 9 J d G V t P j x J d G V t P j x J d G V t T G 9 j Y X R p b 2 4 + P E l 0 Z W 1 U e X B l P k Z v c m 1 1 b G E 8 L 0 l 0 Z W 1 U e X B l P j x J d G V t U G F 0 a D 5 T Z W N 0 a W 9 u M S 9 H S 1 Z J L 0 F h b m d l c G F z d C U y M G l 0 Z W 0 l M j B 0 b 2 V n Z X Z v Z W d k N z w v S X R l b V B h d G g + P C 9 J d G V t T G 9 j Y X R p b 2 4 + P F N 0 Y W J s Z U V u d H J p Z X M g L z 4 8 L 0 l 0 Z W 0 + P E l 0 Z W 0 + P E l 0 Z W 1 M b 2 N h d G l v b j 4 8 S X R l b V R 5 c G U + R m 9 y b X V s Y T w v S X R l b V R 5 c G U + P E l 0 Z W 1 Q Y X R o P l N l Y 3 R p b 2 4 x L 0 d L V k k v V m 9 v c n d h Y X J k Z W x p a m t l J T I w a 2 9 s b 2 0 l M j B p b m d l d m 9 l Z 2 Q 3 P C 9 J d G V t U G F 0 a D 4 8 L 0 l 0 Z W 1 M b 2 N h d G l v b j 4 8 U 3 R h Y m x l R W 5 0 c m l l c y A v P j w v S X R l b T 4 8 S X R l b T 4 8 S X R l b U x v Y 2 F 0 a W 9 u P j x J d G V t V H l w Z T 5 G b 3 J t d W x h P C 9 J d G V t V H l w Z T 4 8 S X R l b V B h d G g + U 2 V j d G l v b j E v R 0 t W S S 9 B Y W 5 n Z X B h c 3 Q l M j B p d G V t J T I w d G 9 l Z 2 V 2 b 2 V n Z D g 8 L 0 l 0 Z W 1 Q Y X R o P j w v S X R l b U x v Y 2 F 0 a W 9 u P j x T d G F i b G V F b n R y a W V z I C 8 + P C 9 J d G V t P j x J d G V t P j x J d G V t T G 9 j Y X R p b 2 4 + P E l 0 Z W 1 U e X B l P k Z v c m 1 1 b G E 8 L 0 l 0 Z W 1 U e X B l P j x J d G V t U G F 0 a D 5 T Z W N 0 a W 9 u M S 9 H S 1 Z J L 1 Z v b 3 J 3 Y W F y Z G V s a W p r Z S U y M G t v b G 9 t J T I w a W 5 n Z X Z v Z W d k O D w v S X R l b V B h d G g + P C 9 J d G V t T G 9 j Y X R p b 2 4 + P F N 0 Y W J s Z U V u d H J p Z X M g L z 4 8 L 0 l 0 Z W 0 + P E l 0 Z W 0 + P E l 0 Z W 1 M b 2 N h d G l v b j 4 8 S X R l b V R 5 c G U + R m 9 y b X V s Y T w v S X R l b V R 5 c G U + P E l 0 Z W 1 Q Y X R o P l N l Y 3 R p b 2 4 x L 0 d L V k k v Q W F u Z 2 V w Y X N 0 J T I w a X R l b S U y M H R v Z W d l d m 9 l Z 2 Q 5 P C 9 J d G V t U G F 0 a D 4 8 L 0 l 0 Z W 1 M b 2 N h d G l v b j 4 8 U 3 R h Y m x l R W 5 0 c m l l c y A v P j w v S X R l b T 4 8 S X R l b T 4 8 S X R l b U x v Y 2 F 0 a W 9 u P j x J d G V t V H l w Z T 5 G b 3 J t d W x h P C 9 J d G V t V H l w Z T 4 8 S X R l b V B h d G g + U 2 V j d G l v b j E v R 0 t W S S 9 W b 2 9 y d 2 F h c m R l b G l q a 2 U l M j B r b 2 x v b S U y M G l u Z 2 V 2 b 2 V n Z D k 8 L 0 l 0 Z W 1 Q Y X R o P j w v S X R l b U x v Y 2 F 0 a W 9 u P j x T d G F i b G V F b n R y a W V z I C 8 + P C 9 J d G V t P j x J d G V t P j x J d G V t T G 9 j Y X R p b 2 4 + P E l 0 Z W 1 U e X B l P k Z v c m 1 1 b G E 8 L 0 l 0 Z W 1 U e X B l P j x J d G V t U G F 0 a D 5 T Z W N 0 a W 9 u M S 9 H S 1 Z J L 0 F h b m d l c G F z d C U y M G l 0 Z W 0 l M j B 0 b 2 V n Z X Z v Z W d k M T A 8 L 0 l 0 Z W 1 Q Y X R o P j w v S X R l b U x v Y 2 F 0 a W 9 u P j x T d G F i b G V F b n R y a W V z I C 8 + P C 9 J d G V t P j x J d G V t P j x J d G V t T G 9 j Y X R p b 2 4 + P E l 0 Z W 1 U e X B l P k Z v c m 1 1 b G E 8 L 0 l 0 Z W 1 U e X B l P j x J d G V t U G F 0 a D 5 T Z W N 0 a W 9 u M S 9 H S 1 Z J L 1 Z v b 3 J 3 Y W F y Z G V s a W p r Z S U y M G t v b G 9 t J T I w a W 5 n Z X Z v Z W d k M T A 8 L 0 l 0 Z W 1 Q Y X R o P j w v S X R l b U x v Y 2 F 0 a W 9 u P j x T d G F i b G V F b n R y a W V z I C 8 + P C 9 J d G V t P j x J d G V t P j x J d G V t T G 9 j Y X R p b 2 4 + P E l 0 Z W 1 U e X B l P k Z v c m 1 1 b G E 8 L 0 l 0 Z W 1 U e X B l P j x J d G V t U G F 0 a D 5 T Z W N 0 a W 9 u M S 9 H S 1 Z J L 0 F h b m d l c G F z d C U y M G l 0 Z W 0 l M j B 0 b 2 V n Z X Z v Z W d k M T E 8 L 0 l 0 Z W 1 Q Y X R o P j w v S X R l b U x v Y 2 F 0 a W 9 u P j x T d G F i b G V F b n R y a W V z I C 8 + P C 9 J d G V t P j x J d G V t P j x J d G V t T G 9 j Y X R p b 2 4 + P E l 0 Z W 1 U e X B l P k Z v c m 1 1 b G E 8 L 0 l 0 Z W 1 U e X B l P j x J d G V t U G F 0 a D 5 T Z W N 0 a W 9 u M S 9 H S 1 Z J L 1 Z v b 3 J 3 Y W F y Z G V s a W p r Z S U y M G t v b G 9 t J T I w a W 5 n Z X Z v Z W d k M T E 8 L 0 l 0 Z W 1 Q Y X R o P j w v S X R l b U x v Y 2 F 0 a W 9 u P j x T d G F i b G V F b n R y a W V z I C 8 + P C 9 J d G V t P j x J d G V t P j x J d G V t T G 9 j Y X R p b 2 4 + P E l 0 Z W 1 U e X B l P k Z v c m 1 1 b G E 8 L 0 l 0 Z W 1 U e X B l P j x J d G V t U G F 0 a D 5 T Z W N 0 a W 9 u M S 9 H S 1 Z J L 0 F h b m d l c G F z d C U y M G l 0 Z W 0 l M j B 0 b 2 V n Z X Z v Z W d k M T I 8 L 0 l 0 Z W 1 Q Y X R o P j w v S X R l b U x v Y 2 F 0 a W 9 u P j x T d G F i b G V F b n R y a W V z I C 8 + P C 9 J d G V t P j x J d G V t P j x J d G V t T G 9 j Y X R p b 2 4 + P E l 0 Z W 1 U e X B l P k Z v c m 1 1 b G E 8 L 0 l 0 Z W 1 U e X B l P j x J d G V t U G F 0 a D 5 T Z W N 0 a W 9 u M S 9 H S 1 Z J L 1 Z v b 3 J 3 Y W F y Z G V s a W p r Z S U y M G t v b G 9 t J T I w a W 5 n Z X Z v Z W d k M T I 8 L 0 l 0 Z W 1 Q Y X R o P j w v S X R l b U x v Y 2 F 0 a W 9 u P j x T d G F i b G V F b n R y a W V z I C 8 + P C 9 J d G V t P j x J d G V t P j x J d G V t T G 9 j Y X R p b 2 4 + P E l 0 Z W 1 U e X B l P k Z v c m 1 1 b G E 8 L 0 l 0 Z W 1 U e X B l P j x J d G V t U G F 0 a D 5 T Z W N 0 a W 9 u M S 9 H S 1 Z J L 0 F h b m d l c G F z d C U y M G l 0 Z W 0 l M j B 0 b 2 V n Z X Z v Z W d k M T M 8 L 0 l 0 Z W 1 Q Y X R o P j w v S X R l b U x v Y 2 F 0 a W 9 u P j x T d G F i b G V F b n R y a W V z I C 8 + P C 9 J d G V t P j x J d G V t P j x J d G V t T G 9 j Y X R p b 2 4 + P E l 0 Z W 1 U e X B l P k Z v c m 1 1 b G E 8 L 0 l 0 Z W 1 U e X B l P j x J d G V t U G F 0 a D 5 T Z W N 0 a W 9 u M S 9 H S 1 Z J L 1 Z v b 3 J 3 Y W F y Z G V s a W p r Z S U y M G t v b G 9 t J T I w a W 5 n Z X Z v Z W d k M T M 8 L 0 l 0 Z W 1 Q Y X R o P j w v S X R l b U x v Y 2 F 0 a W 9 u P j x T d G F i b G V F b n R y a W V z I C 8 + P C 9 J d G V t P j x J d G V t P j x J d G V t T G 9 j Y X R p b 2 4 + P E l 0 Z W 1 U e X B l P k Z v c m 1 1 b G E 8 L 0 l 0 Z W 1 U e X B l P j x J d G V t U G F 0 a D 5 T Z W N 0 a W 9 u M S 9 H S 1 Z J L 0 F h b m d l c G F z d C U y M G l 0 Z W 0 l M j B 0 b 2 V n Z X Z v Z W d k M T Q 8 L 0 l 0 Z W 1 Q Y X R o P j w v S X R l b U x v Y 2 F 0 a W 9 u P j x T d G F i b G V F b n R y a W V z I C 8 + P C 9 J d G V t P j x J d G V t P j x J d G V t T G 9 j Y X R p b 2 4 + P E l 0 Z W 1 U e X B l P k Z v c m 1 1 b G E 8 L 0 l 0 Z W 1 U e X B l P j x J d G V t U G F 0 a D 5 T Z W N 0 a W 9 u M S 9 H S 1 Z J L 1 Z v b 3 J 3 Y W F y Z G V s a W p r Z S U y M G t v b G 9 t J T I w a W 5 n Z X Z v Z W d k M T Q 8 L 0 l 0 Z W 1 Q Y X R o P j w v S X R l b U x v Y 2 F 0 a W 9 u P j x T d G F i b G V F b n R y a W V z I C 8 + P C 9 J d G V t P j x J d G V t P j x J d G V t T G 9 j Y X R p b 2 4 + P E l 0 Z W 1 U e X B l P k Z v c m 1 1 b G E 8 L 0 l 0 Z W 1 U e X B l P j x J d G V t U G F 0 a D 5 T Z W N 0 a W 9 u M S 9 H S 1 Z J L 0 F h b m d l c G F z d C U y M G l 0 Z W 0 l M j B 0 b 2 V n Z X Z v Z W d k M T U 8 L 0 l 0 Z W 1 Q Y X R o P j w v S X R l b U x v Y 2 F 0 a W 9 u P j x T d G F i b G V F b n R y a W V z I C 8 + P C 9 J d G V t P j x J d G V t P j x J d G V t T G 9 j Y X R p b 2 4 + P E l 0 Z W 1 U e X B l P k Z v c m 1 1 b G E 8 L 0 l 0 Z W 1 U e X B l P j x J d G V t U G F 0 a D 5 T Z W N 0 a W 9 u M S 9 H S 1 Z J L 1 Z v b 3 J 3 Y W F y Z G V s a W p r Z S U y M G t v b G 9 t J T I w a W 5 n Z X Z v Z W d k M T U 8 L 0 l 0 Z W 1 Q Y X R o P j w v S X R l b U x v Y 2 F 0 a W 9 u P j x T d G F i b G V F b n R y a W V z I C 8 + P C 9 J d G V t P j x J d G V t P j x J d G V t T G 9 j Y X R p b 2 4 + P E l 0 Z W 1 U e X B l P k Z v c m 1 1 b G E 8 L 0 l 0 Z W 1 U e X B l P j x J d G V t U G F 0 a D 5 T Z W N 0 a W 9 u M S 9 H S 1 Z J L 0 F h b m d l c G F z d C U y M G l 0 Z W 0 l M j B 0 b 2 V n Z X Z v Z W d k M T Y 8 L 0 l 0 Z W 1 Q Y X R o P j w v S X R l b U x v Y 2 F 0 a W 9 u P j x T d G F i b G V F b n R y a W V z I C 8 + P C 9 J d G V t P j x J d G V t P j x J d G V t T G 9 j Y X R p b 2 4 + P E l 0 Z W 1 U e X B l P k Z v c m 1 1 b G E 8 L 0 l 0 Z W 1 U e X B l P j x J d G V t U G F 0 a D 5 T Z W N 0 a W 9 u M S 9 H S 1 Z J L 1 Z v b 3 J 3 Y W F y Z G V s a W p r Z S U y M G t v b G 9 t J T I w a W 5 n Z X Z v Z W d k M T Y 8 L 0 l 0 Z W 1 Q Y X R o P j w v S X R l b U x v Y 2 F 0 a W 9 u P j x T d G F i b G V F b n R y a W V z I C 8 + P C 9 J d G V t P j x J d G V t P j x J d G V t T G 9 j Y X R p b 2 4 + P E l 0 Z W 1 U e X B l P k Z v c m 1 1 b G E 8 L 0 l 0 Z W 1 U e X B l P j x J d G V t U G F 0 a D 5 T Z W N 0 a W 9 u M S 9 H S 1 Z J L 0 F h b m d l c G F z d C U y M G l 0 Z W 0 l M j B 0 b 2 V n Z X Z v Z W d k M T c 8 L 0 l 0 Z W 1 Q Y X R o P j w v S X R l b U x v Y 2 F 0 a W 9 u P j x T d G F i b G V F b n R y a W V z I C 8 + P C 9 J d G V t P j x J d G V t P j x J d G V t T G 9 j Y X R p b 2 4 + P E l 0 Z W 1 U e X B l P k Z v c m 1 1 b G E 8 L 0 l 0 Z W 1 U e X B l P j x J d G V t U G F 0 a D 5 T Z W N 0 a W 9 u M S 9 H S 1 Z J L 1 Z v b 3 J 3 Y W F y Z G V s a W p r Z S U y M G t v b G 9 t J T I w a W 5 n Z X Z v Z W d k M T c 8 L 0 l 0 Z W 1 Q Y X R o P j w v S X R l b U x v Y 2 F 0 a W 9 u P j x T d G F i b G V F b n R y a W V z I C 8 + P C 9 J d G V t P j x J d G V t P j x J d G V t T G 9 j Y X R p b 2 4 + P E l 0 Z W 1 U e X B l P k Z v c m 1 1 b G E 8 L 0 l 0 Z W 1 U e X B l P j x J d G V t U G F 0 a D 5 T Z W N 0 a W 9 u M S 9 H S 1 Z J L 0 F h b m d l c G F z d C U y M G l 0 Z W 0 l M j B 0 b 2 V n Z X Z v Z W d k M T g 8 L 0 l 0 Z W 1 Q Y X R o P j w v S X R l b U x v Y 2 F 0 a W 9 u P j x T d G F i b G V F b n R y a W V z I C 8 + P C 9 J d G V t P j x J d G V t P j x J d G V t T G 9 j Y X R p b 2 4 + P E l 0 Z W 1 U e X B l P k Z v c m 1 1 b G E 8 L 0 l 0 Z W 1 U e X B l P j x J d G V t U G F 0 a D 5 T Z W N 0 a W 9 u M S 9 H S 1 Z J L 1 Z v b 3 J 3 Y W F y Z G V s a W p r Z S U y M G t v b G 9 t J T I w a W 5 n Z X Z v Z W d k M T g 8 L 0 l 0 Z W 1 Q Y X R o P j w v S X R l b U x v Y 2 F 0 a W 9 u P j x T d G F i b G V F b n R y a W V z I C 8 + P C 9 J d G V t P j x J d G V t P j x J d G V t T G 9 j Y X R p b 2 4 + P E l 0 Z W 1 U e X B l P k Z v c m 1 1 b G E 8 L 0 l 0 Z W 1 U e X B l P j x J d G V t U G F 0 a D 5 T Z W N 0 a W 9 u M S 9 H S 1 Z J L 0 F h b m d l c G F z d C U y M G l 0 Z W 0 l M j B 0 b 2 V n Z X Z v Z W d k M T k 8 L 0 l 0 Z W 1 Q Y X R o P j w v S X R l b U x v Y 2 F 0 a W 9 u P j x T d G F i b G V F b n R y a W V z I C 8 + P C 9 J d G V t P j x J d G V t P j x J d G V t T G 9 j Y X R p b 2 4 + P E l 0 Z W 1 U e X B l P k Z v c m 1 1 b G E 8 L 0 l 0 Z W 1 U e X B l P j x J d G V t U G F 0 a D 5 T Z W N 0 a W 9 u M S 9 H S 1 Z J L 1 Z v b 3 J 3 Y W F y Z G V s a W p r Z S U y M G t v b G 9 t J T I w a W 5 n Z X Z v Z W d k M T k 8 L 0 l 0 Z W 1 Q Y X R o P j w v S X R l b U x v Y 2 F 0 a W 9 u P j x T d G F i b G V F b n R y a W V z I C 8 + P C 9 J d G V t P j x J d G V t P j x J d G V t T G 9 j Y X R p b 2 4 + P E l 0 Z W 1 U e X B l P k Z v c m 1 1 b G E 8 L 0 l 0 Z W 1 U e X B l P j x J d G V t U G F 0 a D 5 T Z W N 0 a W 9 u M S 9 H S 1 Z J L 0 F h b m d l c G F z d C U y M G l 0 Z W 0 l M j B 0 b 2 V n Z X Z v Z W d k M j A 8 L 0 l 0 Z W 1 Q Y X R o P j w v S X R l b U x v Y 2 F 0 a W 9 u P j x T d G F i b G V F b n R y a W V z I C 8 + P C 9 J d G V t P j x J d G V t P j x J d G V t T G 9 j Y X R p b 2 4 + P E l 0 Z W 1 U e X B l P k Z v c m 1 1 b G E 8 L 0 l 0 Z W 1 U e X B l P j x J d G V t U G F 0 a D 5 T Z W N 0 a W 9 u M S 9 H S 1 Z J L 0 F h b m d l c G F z d C U y M G l 0 Z W 0 l M j B 0 b 2 V n Z X Z v Z W d k M j E 8 L 0 l 0 Z W 1 Q Y X R o P j w v S X R l b U x v Y 2 F 0 a W 9 u P j x T d G F i b G V F b n R y a W V z I C 8 + P C 9 J d G V t P j x J d G V t P j x J d G V t T G 9 j Y X R p b 2 4 + P E l 0 Z W 1 U e X B l P k Z v c m 1 1 b G E 8 L 0 l 0 Z W 1 U e X B l P j x J d G V t U G F 0 a D 5 T Z W N 0 a W 9 u M S 9 H S 1 Z J L 0 F h b m d l c G F z d C U y M G l 0 Z W 0 l M j B 0 b 2 V n Z X Z v Z W d k M j I 8 L 0 l 0 Z W 1 Q Y X R o P j w v S X R l b U x v Y 2 F 0 a W 9 u P j x T d G F i b G V F b n R y a W V z I C 8 + P C 9 J d G V t P j x J d G V t P j x J d G V t T G 9 j Y X R p b 2 4 + P E l 0 Z W 1 U e X B l P k Z v c m 1 1 b G E 8 L 0 l 0 Z W 1 U e X B l P j x J d G V t U G F 0 a D 5 T Z W N 0 a W 9 u M S 9 H S 1 Z J L 0 5 h b W V u J T I w d m F u J T I w a 2 9 s b 2 1 t Z W 4 l M j B n Z X d p a n p p Z 2 Q 8 L 0 l 0 Z W 1 Q Y X R o P j w v S X R l b U x v Y 2 F 0 a W 9 u P j x T d G F i b G V F b n R y a W V z I C 8 + P C 9 J d G V t P j x J d G V t P j x J d G V t T G 9 j Y X R p b 2 4 + P E l 0 Z W 1 U e X B l P k Z v c m 1 1 b G E 8 L 0 l 0 Z W 1 U e X B l P j x J d G V t U G F 0 a D 5 T Z W N 0 a W 9 u M S 9 H S 1 Z J L 0 t v b G 9 t b W V u J T I w d m V y d 2 l q Z G V y Z C U y M D E 8 L 0 l 0 Z W 1 Q Y X R o P j w v S X R l b U x v Y 2 F 0 a W 9 u P j x T d G F i b G V F b n R y a W V z I C 8 + P C 9 J d G V t P j x J d G V t P j x J d G V t T G 9 j Y X R p b 2 4 + P E l 0 Z W 1 U e X B l P k Z v c m 1 1 b G E 8 L 0 l 0 Z W 1 U e X B l P j x J d G V t U G F 0 a D 5 T Z W N 0 a W 9 u M S 9 H S 1 Z J L 0 5 h b W V u J T I w d m F u J T I w a 2 9 s b 2 1 t Z W 4 l M j B n Z X d p a n p p Z 2 Q l M j A x P C 9 J d G V t U G F 0 a D 4 8 L 0 l 0 Z W 1 M b 2 N h d G l v b j 4 8 U 3 R h Y m x l R W 5 0 c m l l c y A v P j w v S X R l b T 4 8 S X R l b T 4 8 S X R l b U x v Y 2 F 0 a W 9 u P j x J d G V t V H l w Z T 5 G b 3 J t d W x h P C 9 J d G V t V H l w Z T 4 8 S X R l b V B h d G g + U 2 V j d G l v b j E v R 0 t W S S 9 I Z X Q l M j B r b 2 x v b X R 5 c G U l M j B p c y U y M G d l d 2 l q e m l n Z C U y M D E 8 L 0 l 0 Z W 1 Q Y X R o P j w v S X R l b U x v Y 2 F 0 a W 9 u P j x T d G F i b G V F b n R y a W V z I C 8 + P C 9 J d G V t P j x J d G V t P j x J d G V t T G 9 j Y X R p b 2 4 + P E l 0 Z W 1 U e X B l P k Z v c m 1 1 b G E 8 L 0 l 0 Z W 1 U e X B l P j x J d G V t U G F 0 a D 5 T Z W N 0 a W 9 u M S 9 H S 1 Z J L 0 5 h b W V u J T I w d m F u J T I w a 2 9 s b 2 1 t Z W 4 l M j B n Z X d p a n p p Z 2 Q l M j A y P C 9 J d G V t U G F 0 a D 4 8 L 0 l 0 Z W 1 M b 2 N h d G l v b j 4 8 U 3 R h Y m x l R W 5 0 c m l l c y A v P j w v S X R l b T 4 8 S X R l b T 4 8 S X R l b U x v Y 2 F 0 a W 9 u P j x J d G V t V H l w Z T 5 G b 3 J t d W x h P C 9 J d G V t V H l w Z T 4 8 S X R l b V B h d G g + U 2 V j d G l v b j E v R 0 t W S S 9 B Y W 5 n Z X B h c 3 Q l M j B p d G V t J T I w d G 9 l Z 2 V 2 b 2 V n Z C U y M D E 8 L 0 l 0 Z W 1 Q Y X R o P j w v S X R l b U x v Y 2 F 0 a W 9 u P j x T d G F i b G V F b n R y a W V z I C 8 + P C 9 J d G V t P j x J d G V t P j x J d G V t T G 9 j Y X R p b 2 4 + P E l 0 Z W 1 U e X B l P k Z v c m 1 1 b G E 8 L 0 l 0 Z W 1 U e X B l P j x J d G V t U G F 0 a D 5 T Z W N 0 a W 9 u M S 9 H S 1 Z J L 0 F h b m d l c G F z d C U y M G l 0 Z W 0 l M j B 0 b 2 V n Z X Z v Z W d k J T I w M j w v S X R l b V B h d G g + P C 9 J d G V t T G 9 j Y X R p b 2 4 + P F N 0 Y W J s Z U V u d H J p Z X M g L z 4 8 L 0 l 0 Z W 0 + P E l 0 Z W 0 + P E l 0 Z W 1 M b 2 N h d G l v b j 4 8 S X R l b V R 5 c G U + R m 9 y b X V s Y T w v S X R l b V R 5 c G U + P E l 0 Z W 1 Q Y X R o P l N l Y 3 R p b 2 4 x L 0 d L V k k v S G V 0 J T I w a 2 9 s b 2 1 0 e X B l J T I w a X M l M j B n Z X d p a n p p Z 2 Q l M j A y P C 9 J d G V t U G F 0 a D 4 8 L 0 l 0 Z W 1 M b 2 N h d G l v b j 4 8 U 3 R h Y m x l R W 5 0 c m l l c y A v P j w v S X R l b T 4 8 S X R l b T 4 8 S X R l b U x v Y 2 F 0 a W 9 u P j x J d G V t V H l w Z T 5 G b 3 J t d W x h P C 9 J d G V t V H l w Z T 4 8 S X R l b V B h d G g + U 2 V j d G l v b j E v R 0 t W S S 9 L b 2 x v b W 1 l b i U y M H Z l c n d p a m R l c m Q l M j A y P C 9 J d G V t U G F 0 a D 4 8 L 0 l 0 Z W 1 M b 2 N h d G l v b j 4 8 U 3 R h Y m x l R W 5 0 c m l l c y A v P j w v S X R l b T 4 8 S X R l b T 4 8 S X R l b U x v Y 2 F 0 a W 9 u P j x J d G V t V H l w Z T 5 G b 3 J t d W x h P C 9 J d G V t V H l w Z T 4 8 S X R l b V B h d G g + U 2 V j d G l v b j E v R 0 t W S S 9 I Z X Q l M j B r b 2 x v b X R 5 c G U l M j B p c y U y M G d l d 2 l q e m l n Z C U y M D M 8 L 0 l 0 Z W 1 Q Y X R o P j w v S X R l b U x v Y 2 F 0 a W 9 u P j x T d G F i b G V F b n R y a W V z I C 8 + P C 9 J d G V t P j x J d G V t P j x J d G V t T G 9 j Y X R p b 2 4 + P E l 0 Z W 1 U e X B l P k Z v c m 1 1 b G E 8 L 0 l 0 Z W 1 U e X B l P j x J d G V t U G F 0 a D 5 T Z W N 0 a W 9 u M S 9 H S 1 Z J L 1 Z v b G d v c m R l J T I w d m F u J T I w a 2 9 s b 2 1 t Z W 4 l M j B n Z X d p a n p p Z 2 Q l M j A x P C 9 J d G V t U G F 0 a D 4 8 L 0 l 0 Z W 1 M b 2 N h d G l v b j 4 8 U 3 R h Y m x l R W 5 0 c m l l c y A v P j w v S X R l b T 4 8 S X R l b T 4 8 S X R l b U x v Y 2 F 0 a W 9 u P j x J d G V t V H l w Z T 5 G b 3 J t d W x h P C 9 J d G V t V H l w Z T 4 8 S X R l b V B h d G g + U 2 V j d G l v b j E v Q m l l b G V t Y W 5 0 c m V m Z m V u P C 9 J d G V t U G F 0 a D 4 8 L 0 l 0 Z W 1 M b 2 N h d G l v b j 4 8 U 3 R h Y m x l R W 5 0 c m l l c z 4 8 R W 5 0 c n k g V H l w Z T 0 i S X N Q c m l 2 Y X R l I i B W Y W x 1 Z T 0 i b D A i I C 8 + P E V u d H J 5 I F R 5 c G U 9 I k x v Y W R U b 1 J l c G 9 y d E R p c 2 F i b G V k I i B W Y W x 1 Z T 0 i b D A i I C 8 + P E V u d H J 5 I F R 5 c G U 9 I k Z p b G x F b m F i b G V k I i B W Y W x 1 Z T 0 i b D E i I C 8 + P E V u d H J 5 I F R 5 c G U 9 I k Z p b G x P Y m p l Y 3 R U e X B l I i B W Y W x 1 Z T 0 i c 1 R h Y m x l I i A v P j x F b n R y e S B U e X B l P S J G a W x s V G 9 E Y X R h T W 9 k Z W x F b m F i b G V k I i B W Y W x 1 Z T 0 i b D A i I C 8 + P E V u d H J 5 I F R 5 c G U 9 I l F 1 Z X J 5 S U Q i I F Z h b H V l P S J z M D c x M G N l Y z I t O T R k Y i 0 0 M G E 4 L W I 3 M j Y t Y z Q 1 Z T Z j N T g y Y z E z I i A v P j x F b n R y e S B U e X B l P S J C d W Z m Z X J O Z X h 0 U m V m c m V z a C I g V m F s d W U 9 I m w x I i A v P j x F b n R y e S B U e X B l P S J S Z X N 1 b H R U e X B l I i B W Y W x 1 Z T 0 i c 1 R h Y m x l I i A v P j x F b n R y e S B U e X B l P S J O Y W 1 l V X B k Y X R l Z E F m d G V y R m l s b C I g V m F s d W U 9 I m w w I i A v P j x F b n R y e S B U e X B l P S J G a W x s V G F y Z 2 V 0 I i B W Y W x 1 Z T 0 i c 0 J p Z W x l b W F u d H J l Z m Z l b i I g L z 4 8 R W 5 0 c n k g V H l w Z T 0 i R m l s b G V k Q 2 9 t c G x l d G V S Z X N 1 b H R U b 1 d v c m t z a G V l d C I g V m F s d W U 9 I m w x I i A v P j x F b n R y e S B U e X B l P S J G a W x s T G F z d F V w Z G F 0 Z W Q i I F Z h b H V l P S J k M j A y N i 0 w M i 0 w O F Q x M D o x O D o 0 N y 4 2 M D k 5 M T E w W i I g L z 4 8 R W 5 0 c n k g V H l w Z T 0 i R m l s b E V y c m 9 y Q 2 9 1 b n Q i I F Z h b H V l P S J s M C I g L z 4 8 R W 5 0 c n k g V H l w Z T 0 i R m l s b E N v b H V t b l R 5 c G V z I i B W Y W x 1 Z T 0 i c 0 J n W U d B Q U F B Q U F Z R E J 3 Y z 0 i I C 8 + P E V u d H J 5 I F R 5 c G U 9 I k Z p b G x F c n J v c k N v Z G U i I F Z h b H V l P S J z V W 5 r b m 9 3 b i I g L z 4 8 R W 5 0 c n k g V H l w Z T 0 i R m l s b E N v d W 5 0 I i B W Y W x 1 Z T 0 i b D I z I i A v P j x F b n R y e S B U e X B l P S J G a W x s Q 2 9 s d W 1 u T m F t Z X M i I F Z h b H V l P S J z W y Z x d W 9 0 O 0 J J R U w m c X V v d D s s J n F 1 b 3 Q 7 V m V y Z W 5 p Z 2 l u Z 3 N u d W 1 t Z X I m c X V v d D s s J n F 1 b 3 Q 7 T m F h b S B 2 Z X J l b m l n a W 5 n J n F 1 b 3 Q 7 L C Z x d W 9 0 O 1 N l b m l v c m V u J n F 1 b 3 Q 7 L C Z x d W 9 0 O 0 p v b m c g V m 9 s d 2 F z c 2 V u Z S Z x d W 9 0 O y w m c X V v d D t K d W 5 p b 3 J l b i Z x d W 9 0 O y w m c X V v d D t B c 3 B p c m F u d G V u J n F 1 b 3 Q 7 L C Z x d W 9 0 O 0 9 w b W V y a 2 l u Z 2 V u L 3 R v Z W x p Y 2 h 0 a W 5 n J n F 1 b 3 Q 7 L C Z x d W 9 0 O 0 l u e m V u Z G l u Z y 1 J R C Z x d W 9 0 O y w m c X V v d D t J b n p l b m R k Y X R 1 b S Z x d W 9 0 O y w m c X V v d D t E Y X R l I F V w Z G F 0 Z W Q m c X V v d D t d I i A v P j x F b n R y e S B U e X B l P S J G a W x s U 3 R h d H V z I i B W Y W x 1 Z T 0 i c 0 N v b X B s Z X R l I i A v P j x F b n R y e S B U e X B l P S J B Z G R l Z F R v R G F 0 Y U 1 v Z G V s I i B W Y W x 1 Z T 0 i b D A i I C 8 + P E V u d H J 5 I F R 5 c G U 9 I l J l b G F 0 a W 9 u c 2 h p c E l u Z m 9 D b 2 5 0 Y W l u Z X I i I F Z h b H V l P S J z e y Z x d W 9 0 O 2 N v b H V t b k N v d W 5 0 J n F 1 b 3 Q 7 O j E x L C Z x d W 9 0 O 2 t l e U N v b H V t b k 5 h b W V z J n F 1 b 3 Q 7 O l t d L C Z x d W 9 0 O 3 F 1 Z X J 5 U m V s Y X R p b 2 5 z a G l w c y Z x d W 9 0 O z p b X S w m c X V v d D t j b 2 x 1 b W 5 J Z G V u d G l 0 a W V z J n F 1 b 3 Q 7 O l s m c X V v d D t T Z W N 0 a W 9 u M S 9 C a W V s Z W 1 h b n R y Z W Z m Z W 4 v Q X V 0 b 1 J l b W 9 2 Z W R D b 2 x 1 b W 5 z M S 5 7 Q k l F T C w w f S Z x d W 9 0 O y w m c X V v d D t T Z W N 0 a W 9 u M S 9 C a W V s Z W 1 h b n R y Z W Z m Z W 4 v Q X V 0 b 1 J l b W 9 2 Z W R D b 2 x 1 b W 5 z M S 5 7 V m V y Z W 5 p Z 2 l u Z 3 N u d W 1 t Z X I s M X 0 m c X V v d D s s J n F 1 b 3 Q 7 U 2 V j d G l v b j E v Q m l l b G V t Y W 5 0 c m V m Z m V u L 0 F 1 d G 9 S Z W 1 v d m V k Q 2 9 s d W 1 u c z E u e 0 5 h Y W 0 g d m V y Z W 5 p Z 2 l u Z y w y f S Z x d W 9 0 O y w m c X V v d D t T Z W N 0 a W 9 u M S 9 C a W V s Z W 1 h b n R y Z W Z m Z W 4 v Q X V 0 b 1 J l b W 9 2 Z W R D b 2 x 1 b W 5 z M S 5 7 U 2 V u a W 9 y Z W 4 s M 3 0 m c X V v d D s s J n F 1 b 3 Q 7 U 2 V j d G l v b j E v Q m l l b G V t Y W 5 0 c m V m Z m V u L 0 F 1 d G 9 S Z W 1 v d m V k Q 2 9 s d W 1 u c z E u e 0 p v b m c g V m 9 s d 2 F z c 2 V u Z S w 0 f S Z x d W 9 0 O y w m c X V v d D t T Z W N 0 a W 9 u M S 9 C a W V s Z W 1 h b n R y Z W Z m Z W 4 v Q X V 0 b 1 J l b W 9 2 Z W R D b 2 x 1 b W 5 z M S 5 7 S n V u a W 9 y Z W 4 s N X 0 m c X V v d D s s J n F 1 b 3 Q 7 U 2 V j d G l v b j E v Q m l l b G V t Y W 5 0 c m V m Z m V u L 0 F 1 d G 9 S Z W 1 v d m V k Q 2 9 s d W 1 u c z E u e 0 F z c G l y Y W 5 0 Z W 4 s N n 0 m c X V v d D s s J n F 1 b 3 Q 7 U 2 V j d G l v b j E v Q m l l b G V t Y W 5 0 c m V m Z m V u L 0 F 1 d G 9 S Z W 1 v d m V k Q 2 9 s d W 1 u c z E u e 0 9 w b W V y a 2 l u Z 2 V u L 3 R v Z W x p Y 2 h 0 a W 5 n L D d 9 J n F 1 b 3 Q 7 L C Z x d W 9 0 O 1 N l Y 3 R p b 2 4 x L 0 J p Z W x l b W F u d H J l Z m Z l b i 9 B d X R v U m V t b 3 Z l Z E N v b H V t b n M x L n t J b n p l b m R p b m c t S U Q s O H 0 m c X V v d D s s J n F 1 b 3 Q 7 U 2 V j d G l v b j E v Q m l l b G V t Y W 5 0 c m V m Z m V u L 0 F 1 d G 9 S Z W 1 v d m V k Q 2 9 s d W 1 u c z E u e 0 l u e m V u Z G R h d H V t L D l 9 J n F 1 b 3 Q 7 L C Z x d W 9 0 O 1 N l Y 3 R p b 2 4 x L 0 J p Z W x l b W F u d H J l Z m Z l b i 9 B d X R v U m V t b 3 Z l Z E N v b H V t b n M x L n t E Y X R l I F V w Z G F 0 Z W Q s M T B 9 J n F 1 b 3 Q 7 X S w m c X V v d D t D b 2 x 1 b W 5 D b 3 V u d C Z x d W 9 0 O z o x M S w m c X V v d D t L Z X l D b 2 x 1 b W 5 O Y W 1 l c y Z x d W 9 0 O z p b X S w m c X V v d D t D b 2 x 1 b W 5 J Z G V u d G l 0 a W V z J n F 1 b 3 Q 7 O l s m c X V v d D t T Z W N 0 a W 9 u M S 9 C a W V s Z W 1 h b n R y Z W Z m Z W 4 v Q X V 0 b 1 J l b W 9 2 Z W R D b 2 x 1 b W 5 z M S 5 7 Q k l F T C w w f S Z x d W 9 0 O y w m c X V v d D t T Z W N 0 a W 9 u M S 9 C a W V s Z W 1 h b n R y Z W Z m Z W 4 v Q X V 0 b 1 J l b W 9 2 Z W R D b 2 x 1 b W 5 z M S 5 7 V m V y Z W 5 p Z 2 l u Z 3 N u d W 1 t Z X I s M X 0 m c X V v d D s s J n F 1 b 3 Q 7 U 2 V j d G l v b j E v Q m l l b G V t Y W 5 0 c m V m Z m V u L 0 F 1 d G 9 S Z W 1 v d m V k Q 2 9 s d W 1 u c z E u e 0 5 h Y W 0 g d m V y Z W 5 p Z 2 l u Z y w y f S Z x d W 9 0 O y w m c X V v d D t T Z W N 0 a W 9 u M S 9 C a W V s Z W 1 h b n R y Z W Z m Z W 4 v Q X V 0 b 1 J l b W 9 2 Z W R D b 2 x 1 b W 5 z M S 5 7 U 2 V u a W 9 y Z W 4 s M 3 0 m c X V v d D s s J n F 1 b 3 Q 7 U 2 V j d G l v b j E v Q m l l b G V t Y W 5 0 c m V m Z m V u L 0 F 1 d G 9 S Z W 1 v d m V k Q 2 9 s d W 1 u c z E u e 0 p v b m c g V m 9 s d 2 F z c 2 V u Z S w 0 f S Z x d W 9 0 O y w m c X V v d D t T Z W N 0 a W 9 u M S 9 C a W V s Z W 1 h b n R y Z W Z m Z W 4 v Q X V 0 b 1 J l b W 9 2 Z W R D b 2 x 1 b W 5 z M S 5 7 S n V u a W 9 y Z W 4 s N X 0 m c X V v d D s s J n F 1 b 3 Q 7 U 2 V j d G l v b j E v Q m l l b G V t Y W 5 0 c m V m Z m V u L 0 F 1 d G 9 S Z W 1 v d m V k Q 2 9 s d W 1 u c z E u e 0 F z c G l y Y W 5 0 Z W 4 s N n 0 m c X V v d D s s J n F 1 b 3 Q 7 U 2 V j d G l v b j E v Q m l l b G V t Y W 5 0 c m V m Z m V u L 0 F 1 d G 9 S Z W 1 v d m V k Q 2 9 s d W 1 u c z E u e 0 9 w b W V y a 2 l u Z 2 V u L 3 R v Z W x p Y 2 h 0 a W 5 n L D d 9 J n F 1 b 3 Q 7 L C Z x d W 9 0 O 1 N l Y 3 R p b 2 4 x L 0 J p Z W x l b W F u d H J l Z m Z l b i 9 B d X R v U m V t b 3 Z l Z E N v b H V t b n M x L n t J b n p l b m R p b m c t S U Q s O H 0 m c X V v d D s s J n F 1 b 3 Q 7 U 2 V j d G l v b j E v Q m l l b G V t Y W 5 0 c m V m Z m V u L 0 F 1 d G 9 S Z W 1 v d m V k Q 2 9 s d W 1 u c z E u e 0 l u e m V u Z G R h d H V t L D l 9 J n F 1 b 3 Q 7 L C Z x d W 9 0 O 1 N l Y 3 R p b 2 4 x L 0 J p Z W x l b W F u d H J l Z m Z l b i 9 B d X R v U m V t b 3 Z l Z E N v b H V t b n M x L n t E Y X R l I F V w Z G F 0 Z W Q s M T B 9 J n F 1 b 3 Q 7 X S w m c X V v d D t S Z W x h d G l v b n N o a X B J b m Z v J n F 1 b 3 Q 7 O l t d f S I g L z 4 8 L 1 N 0 Y W J s Z U V u d H J p Z X M + P C 9 J d G V t P j x J d G V t P j x J d G V t T G 9 j Y X R p b 2 4 + P E l 0 Z W 1 U e X B l P k Z v c m 1 1 b G E 8 L 0 l 0 Z W 1 U e X B l P j x J d G V t U G F 0 a D 5 T Z W N 0 a W 9 u M S 9 C a W V s Z W 1 h b n R y Z W Z m Z W 4 v Q n J v b j w v S X R l b V B h d G g + P C 9 J d G V t T G 9 j Y X R p b 2 4 + P F N 0 Y W J s Z U V u d H J p Z X M g L z 4 8 L 0 l 0 Z W 0 + P E l 0 Z W 0 + P E l 0 Z W 1 M b 2 N h d G l v b j 4 8 S X R l b V R 5 c G U + R m 9 y b X V s Y T w v S X R l b V R 5 c G U + P E l 0 Z W 1 Q Y X R o P l N l Y 3 R p b 2 4 x L 0 J p Z W x l b W F u d H J l Z m Z l b i 9 I Z W F k Z X J z J T I w b W V 0 J T I w d m V y a G 9 v Z 2 Q l M j B u a X Z l Y X U 8 L 0 l 0 Z W 1 Q Y X R o P j w v S X R l b U x v Y 2 F 0 a W 9 u P j x T d G F i b G V F b n R y a W V z I C 8 + P C 9 J d G V t P j x J d G V t P j x J d G V t T G 9 j Y X R p b 2 4 + P E l 0 Z W 1 U e X B l P k Z v c m 1 1 b G E 8 L 0 l 0 Z W 1 U e X B l P j x J d G V t U G F 0 a D 5 T Z W N 0 a W 9 u M S 9 C a W V s Z W 1 h b n R y Z W Z m Z W 4 v S G V 0 J T I w a 2 9 s b 2 1 0 e X B l J T I w a X M l M j B n Z X d p a n p p Z 2 Q 8 L 0 l 0 Z W 1 Q Y X R o P j w v S X R l b U x v Y 2 F 0 a W 9 u P j x T d G F i b G V F b n R y a W V z I C 8 + P C 9 J d G V t P j x J d G V t P j x J d G V t T G 9 j Y X R p b 2 4 + P E l 0 Z W 1 U e X B l P k Z v c m 1 1 b G E 8 L 0 l 0 Z W 1 U e X B l P j x J d G V t U G F 0 a D 5 T Z W N 0 a W 9 u M S 9 C a W V s Z W 1 h b n R y Z W Z m Z W 4 v Q W F u Z 2 V w Y X N 0 J T I w a X R l b S U y M H R v Z W d l d m 9 l Z 2 Q 8 L 0 l 0 Z W 1 Q Y X R o P j w v S X R l b U x v Y 2 F 0 a W 9 u P j x T d G F i b G V F b n R y a W V z I C 8 + P C 9 J d G V t P j x J d G V t P j x J d G V t T G 9 j Y X R p b 2 4 + P E l 0 Z W 1 U e X B l P k Z v c m 1 1 b G E 8 L 0 l 0 Z W 1 U e X B l P j x J d G V t U G F 0 a D 5 T Z W N 0 a W 9 u M S 9 C a W V s Z W 1 h b n R y Z W Z m Z W 4 v Q W F u Z 2 V w Y X N 0 J T I w a X R l b S U y M H R v Z W d l d m 9 l Z 2 Q x P C 9 J d G V t U G F 0 a D 4 8 L 0 l 0 Z W 1 M b 2 N h d G l v b j 4 8 U 3 R h Y m x l R W 5 0 c m l l c y A v P j w v S X R l b T 4 8 S X R l b T 4 8 S X R l b U x v Y 2 F 0 a W 9 u P j x J d G V t V H l w Z T 5 G b 3 J t d W x h P C 9 J d G V t V H l w Z T 4 8 S X R l b V B h d G g + U 2 V j d G l v b j E v Q m l l b G V t Y W 5 0 c m V m Z m V u L 0 F h b m d l c G F z d C U y M G l 0 Z W 0 l M j B 0 b 2 V n Z X Z v Z W d k M j w v S X R l b V B h d G g + P C 9 J d G V t T G 9 j Y X R p b 2 4 + P F N 0 Y W J s Z U V u d H J p Z X M g L z 4 8 L 0 l 0 Z W 0 + P E l 0 Z W 0 + P E l 0 Z W 1 M b 2 N h d G l v b j 4 8 S X R l b V R 5 c G U + R m 9 y b X V s Y T w v S X R l b V R 5 c G U + P E l 0 Z W 1 Q Y X R o P l N l Y 3 R p b 2 4 x L 0 J p Z W x l b W F u d H J l Z m Z l b i 9 B Y W 5 n Z X B h c 3 Q l M j B p d G V t J T I w d G 9 l Z 2 V 2 b 2 V n Z D M 8 L 0 l 0 Z W 1 Q Y X R o P j w v S X R l b U x v Y 2 F 0 a W 9 u P j x T d G F i b G V F b n R y a W V z I C 8 + P C 9 J d G V t P j x J d G V t P j x J d G V t T G 9 j Y X R p b 2 4 + P E l 0 Z W 1 U e X B l P k Z v c m 1 1 b G E 8 L 0 l 0 Z W 1 U e X B l P j x J d G V t U G F 0 a D 5 T Z W N 0 a W 9 u M S 9 C a W V s Z W 1 h b n R y Z W Z m Z W 4 v Q W F u Z 2 V w Y X N 0 J T I w a X R l b S U y M H R v Z W d l d m 9 l Z 2 Q 0 P C 9 J d G V t U G F 0 a D 4 8 L 0 l 0 Z W 1 M b 2 N h d G l v b j 4 8 U 3 R h Y m x l R W 5 0 c m l l c y A v P j w v S X R l b T 4 8 S X R l b T 4 8 S X R l b U x v Y 2 F 0 a W 9 u P j x J d G V t V H l w Z T 5 G b 3 J t d W x h P C 9 J d G V t V H l w Z T 4 8 S X R l b V B h d G g + U 2 V j d G l v b j E v Q m l l b G V t Y W 5 0 c m V m Z m V u L 0 F h b m d l c G F z d C U y M G l 0 Z W 0 l M j B 0 b 2 V n Z X Z v Z W d k N T w v S X R l b V B h d G g + P C 9 J d G V t T G 9 j Y X R p b 2 4 + P F N 0 Y W J s Z U V u d H J p Z X M g L z 4 8 L 0 l 0 Z W 0 + P E l 0 Z W 0 + P E l 0 Z W 1 M b 2 N h d G l v b j 4 8 S X R l b V R 5 c G U + R m 9 y b X V s Y T w v S X R l b V R 5 c G U + P E l 0 Z W 1 Q Y X R o P l N l Y 3 R p b 2 4 x L 0 J p Z W x l b W F u d H J l Z m Z l b i 9 B Y W 5 n Z X B h c 3 Q l M j B p d G V t J T I w d G 9 l Z 2 V 2 b 2 V n Z D Y 8 L 0 l 0 Z W 1 Q Y X R o P j w v S X R l b U x v Y 2 F 0 a W 9 u P j x T d G F i b G V F b n R y a W V z I C 8 + P C 9 J d G V t P j x J d G V t P j x J d G V t T G 9 j Y X R p b 2 4 + P E l 0 Z W 1 U e X B l P k Z v c m 1 1 b G E 8 L 0 l 0 Z W 1 U e X B l P j x J d G V t U G F 0 a D 5 T Z W N 0 a W 9 u M S 9 C a W V s Z W 1 h b n R y Z W Z m Z W 4 v Q W F u Z 2 V w Y X N 0 J T I w a X R l b S U y M H R v Z W d l d m 9 l Z 2 Q l M j A x P C 9 J d G V t U G F 0 a D 4 8 L 0 l 0 Z W 1 M b 2 N h d G l v b j 4 8 U 3 R h Y m x l R W 5 0 c m l l c y A v P j w v S X R l b T 4 8 S X R l b T 4 8 S X R l b U x v Y 2 F 0 a W 9 u P j x J d G V t V H l w Z T 5 G b 3 J t d W x h P C 9 J d G V t V H l w Z T 4 8 S X R l b V B h d G g + U 2 V j d G l v b j E v Q m l l b G V t Y W 5 0 c m V m Z m V u L 0 F h b m d l c G F z d C U y M G l 0 Z W 0 l M j B 0 b 2 V n Z X Z v Z W d k J T I w M j w v S X R l b V B h d G g + P C 9 J d G V t T G 9 j Y X R p b 2 4 + P F N 0 Y W J s Z U V u d H J p Z X M g L z 4 8 L 0 l 0 Z W 0 + P E l 0 Z W 0 + P E l 0 Z W 1 M b 2 N h d G l v b j 4 8 S X R l b V R 5 c G U + R m 9 y b X V s Y T w v S X R l b V R 5 c G U + P E l 0 Z W 1 Q Y X R o P l N l Y 3 R p b 2 4 x L 0 J p Z W x l b W F u d H J l Z m Z l b i 9 B Y W 5 n Z X B h c 3 Q l M j B p d G V t J T I w d G 9 l Z 2 V 2 b 2 V n Z C U y M D M 8 L 0 l 0 Z W 1 Q Y X R o P j w v S X R l b U x v Y 2 F 0 a W 9 u P j x T d G F i b G V F b n R y a W V z I C 8 + P C 9 J d G V t P j x J d G V t P j x J d G V t T G 9 j Y X R p b 2 4 + P E l 0 Z W 1 U e X B l P k Z v c m 1 1 b G E 8 L 0 l 0 Z W 1 U e X B l P j x J d G V t U G F 0 a D 5 T Z W N 0 a W 9 u M S 9 C a W V s Z W 1 h b n R y Z W Z m Z W 4 v Q W F u Z 2 V w Y X N 0 J T I w a X R l b S U y M H R v Z W d l d m 9 l Z 2 Q l M j A 0 P C 9 J d G V t U G F 0 a D 4 8 L 0 l 0 Z W 1 M b 2 N h d G l v b j 4 8 U 3 R h Y m x l R W 5 0 c m l l c y A v P j w v S X R l b T 4 8 S X R l b T 4 8 S X R l b U x v Y 2 F 0 a W 9 u P j x J d G V t V H l w Z T 5 G b 3 J t d W x h P C 9 J d G V t V H l w Z T 4 8 S X R l b V B h d G g + U 2 V j d G l v b j E v Q m l l b G V t Y W 5 0 c m V m Z m V u L 0 F h b m d l c G F z d C U y M G l 0 Z W 0 l M j B 0 b 2 V n Z X Z v Z W d k J T I w N T w v S X R l b V B h d G g + P C 9 J d G V t T G 9 j Y X R p b 2 4 + P F N 0 Y W J s Z U V u d H J p Z X M g L z 4 8 L 0 l 0 Z W 0 + P E l 0 Z W 0 + P E l 0 Z W 1 M b 2 N h d G l v b j 4 8 S X R l b V R 5 c G U + R m 9 y b X V s Y T w v S X R l b V R 5 c G U + P E l 0 Z W 1 Q Y X R o P l N l Y 3 R p b 2 4 x L 0 J p Z W x l b W F u d H J l Z m Z l b i 9 B Y W 5 n Z X B h c 3 Q l M j B p d G V t J T I w d G 9 l Z 2 V 2 b 2 V n Z C U y M D Y 8 L 0 l 0 Z W 1 Q Y X R o P j w v S X R l b U x v Y 2 F 0 a W 9 u P j x T d G F i b G V F b n R y a W V z I C 8 + P C 9 J d G V t P j x J d G V t P j x J d G V t T G 9 j Y X R p b 2 4 + P E l 0 Z W 1 U e X B l P k Z v c m 1 1 b G E 8 L 0 l 0 Z W 1 U e X B l P j x J d G V t U G F 0 a D 5 T Z W N 0 a W 9 u M S 9 C a W V s Z W 1 h b n R y Z W Z m Z W 4 v Q W F u Z 2 V w Y X N 0 J T I w a X R l b S U y M H R v Z W d l d m 9 l Z 2 Q l M j A 3 P C 9 J d G V t U G F 0 a D 4 8 L 0 l 0 Z W 1 M b 2 N h d G l v b j 4 8 U 3 R h Y m x l R W 5 0 c m l l c y A v P j w v S X R l b T 4 8 S X R l b T 4 8 S X R l b U x v Y 2 F 0 a W 9 u P j x J d G V t V H l w Z T 5 G b 3 J t d W x h P C 9 J d G V t V H l w Z T 4 8 S X R l b V B h d G g + U 2 V j d G l v b j E v Q m l l b G V t Y W 5 0 c m V m Z m V u L 0 F h b m d l c G F z d C U y M G l 0 Z W 0 l M j B 0 b 2 V n Z X Z v Z W d k J T I w O D w v S X R l b V B h d G g + P C 9 J d G V t T G 9 j Y X R p b 2 4 + P F N 0 Y W J s Z U V u d H J p Z X M g L z 4 8 L 0 l 0 Z W 0 + P E l 0 Z W 0 + P E l 0 Z W 1 M b 2 N h d G l v b j 4 8 S X R l b V R 5 c G U + R m 9 y b X V s Y T w v S X R l b V R 5 c G U + P E l 0 Z W 1 Q Y X R o P l N l Y 3 R p b 2 4 x L 0 J p Z W x l b W F u d H J l Z m Z l b i 9 B Y W 5 n Z X B h c 3 Q l M j B p d G V t J T I w d G 9 l Z 2 V 2 b 2 V n Z C U y M D k 8 L 0 l 0 Z W 1 Q Y X R o P j w v S X R l b U x v Y 2 F 0 a W 9 u P j x T d G F i b G V F b n R y a W V z I C 8 + P C 9 J d G V t P j x J d G V t P j x J d G V t T G 9 j Y X R p b 2 4 + P E l 0 Z W 1 U e X B l P k Z v c m 1 1 b G E 8 L 0 l 0 Z W 1 U e X B l P j x J d G V t U G F 0 a D 5 T Z W N 0 a W 9 u M S 9 C a W V s Z W 1 h b n R y Z W Z m Z W 4 v Q W F u Z 2 V w Y X N 0 J T I w a X R l b S U y M H R v Z W d l d m 9 l Z 2 Q l M j A x M D w v S X R l b V B h d G g + P C 9 J d G V t T G 9 j Y X R p b 2 4 + P F N 0 Y W J s Z U V u d H J p Z X M g L z 4 8 L 0 l 0 Z W 0 + P E l 0 Z W 0 + P E l 0 Z W 1 M b 2 N h d G l v b j 4 8 S X R l b V R 5 c G U + R m 9 y b X V s Y T w v S X R l b V R 5 c G U + P E l 0 Z W 1 Q Y X R o P l N l Y 3 R p b 2 4 x L 0 J p Z W x l b W F u d H J l Z m Z l b i 9 B Y W 5 n Z X B h c 3 Q l M j B p d G V t J T I w d G 9 l Z 2 V 2 b 2 V n Z C U y M D E x P C 9 J d G V t U G F 0 a D 4 8 L 0 l 0 Z W 1 M b 2 N h d G l v b j 4 8 U 3 R h Y m x l R W 5 0 c m l l c y A v P j w v S X R l b T 4 8 S X R l b T 4 8 S X R l b U x v Y 2 F 0 a W 9 u P j x J d G V t V H l w Z T 5 G b 3 J t d W x h P C 9 J d G V t V H l w Z T 4 8 S X R l b V B h d G g + U 2 V j d G l v b j E v Q m l l b G V t Y W 5 0 c m V m Z m V u L 0 F h b m d l c G F z d C U y M G l 0 Z W 0 l M j B 0 b 2 V n Z X Z v Z W d k J T I w M T I 8 L 0 l 0 Z W 1 Q Y X R o P j w v S X R l b U x v Y 2 F 0 a W 9 u P j x T d G F i b G V F b n R y a W V z I C 8 + P C 9 J d G V t P j x J d G V t P j x J d G V t T G 9 j Y X R p b 2 4 + P E l 0 Z W 1 U e X B l P k Z v c m 1 1 b G E 8 L 0 l 0 Z W 1 U e X B l P j x J d G V t U G F 0 a D 5 T Z W N 0 a W 9 u M S 9 C a W V s Z W 1 h b n R y Z W Z m Z W 4 v Q W F u Z 2 V w Y X N 0 J T I w a X R l b S U y M H R v Z W d l d m 9 l Z 2 Q l M j A x M z w v S X R l b V B h d G g + P C 9 J d G V t T G 9 j Y X R p b 2 4 + P F N 0 Y W J s Z U V u d H J p Z X M g L z 4 8 L 0 l 0 Z W 0 + P E l 0 Z W 0 + P E l 0 Z W 1 M b 2 N h d G l v b j 4 8 S X R l b V R 5 c G U + R m 9 y b X V s Y T w v S X R l b V R 5 c G U + P E l 0 Z W 1 Q Y X R o P l N l Y 3 R p b 2 4 x L 0 J p Z W x l b W F u d H J l Z m Z l b i 9 B Y W 5 n Z X B h c 3 Q l M j B p d G V t J T I w d G 9 l Z 2 V 2 b 2 V n Z C U y M D E 0 P C 9 J d G V t U G F 0 a D 4 8 L 0 l 0 Z W 1 M b 2 N h d G l v b j 4 8 U 3 R h Y m x l R W 5 0 c m l l c y A v P j w v S X R l b T 4 8 S X R l b T 4 8 S X R l b U x v Y 2 F 0 a W 9 u P j x J d G V t V H l w Z T 5 G b 3 J t d W x h P C 9 J d G V t V H l w Z T 4 8 S X R l b V B h d G g + U 2 V j d G l v b j E v Q m l l b G V t Y W 5 0 c m V m Z m V u L 0 F h b m d l c G F z d C U y M G l 0 Z W 0 l M j B 0 b 2 V n Z X Z v Z W d k J T I w M T U 8 L 0 l 0 Z W 1 Q Y X R o P j w v S X R l b U x v Y 2 F 0 a W 9 u P j x T d G F i b G V F b n R y a W V z I C 8 + P C 9 J d G V t P j x J d G V t P j x J d G V t T G 9 j Y X R p b 2 4 + P E l 0 Z W 1 U e X B l P k Z v c m 1 1 b G E 8 L 0 l 0 Z W 1 U e X B l P j x J d G V t U G F 0 a D 5 T Z W N 0 a W 9 u M S 9 C a W V s Z W 1 h b n R y Z W Z m Z W 4 v Q W F u Z 2 V w Y X N 0 J T I w a X R l b S U y M H R v Z W d l d m 9 l Z 2 Q l M j A x N j w v S X R l b V B h d G g + P C 9 J d G V t T G 9 j Y X R p b 2 4 + P F N 0 Y W J s Z U V u d H J p Z X M g L z 4 8 L 0 l 0 Z W 0 + P E l 0 Z W 0 + P E l 0 Z W 1 M b 2 N h d G l v b j 4 8 S X R l b V R 5 c G U + R m 9 y b X V s Y T w v S X R l b V R 5 c G U + P E l 0 Z W 1 Q Y X R o P l N l Y 3 R p b 2 4 x L 0 J p Z W x l b W F u d H J l Z m Z l b i 9 B Y W 5 n Z X B h c 3 Q l M j B p d G V t J T I w d G 9 l Z 2 V 2 b 2 V n Z C U y M D E 3 P C 9 J d G V t U G F 0 a D 4 8 L 0 l 0 Z W 1 M b 2 N h d G l v b j 4 8 U 3 R h Y m x l R W 5 0 c m l l c y A v P j w v S X R l b T 4 8 S X R l b T 4 8 S X R l b U x v Y 2 F 0 a W 9 u P j x J d G V t V H l w Z T 5 G b 3 J t d W x h P C 9 J d G V t V H l w Z T 4 8 S X R l b V B h d G g + U 2 V j d G l v b j E v Q m l l b G V t Y W 5 0 c m V m Z m V u L 0 F h b m d l c G F z d C U y M G l 0 Z W 0 l M j B 0 b 2 V n Z X Z v Z W d k J T I w M T g 8 L 0 l 0 Z W 1 Q Y X R o P j w v S X R l b U x v Y 2 F 0 a W 9 u P j x T d G F i b G V F b n R y a W V z I C 8 + P C 9 J d G V t P j x J d G V t P j x J d G V t T G 9 j Y X R p b 2 4 + P E l 0 Z W 1 U e X B l P k Z v c m 1 1 b G E 8 L 0 l 0 Z W 1 U e X B l P j x J d G V t U G F 0 a D 5 T Z W N 0 a W 9 u M S 9 C a W V s Z W 1 h b n R y Z W Z m Z W 4 v Q W F u Z 2 V w Y X N 0 J T I w a X R l b S U y M H R v Z W d l d m 9 l Z 2 Q l M j A x O T w v S X R l b V B h d G g + P C 9 J d G V t T G 9 j Y X R p b 2 4 + P F N 0 Y W J s Z U V u d H J p Z X M g L z 4 8 L 0 l 0 Z W 0 + P E l 0 Z W 0 + P E l 0 Z W 1 M b 2 N h d G l v b j 4 8 S X R l b V R 5 c G U + R m 9 y b X V s Y T w v S X R l b V R 5 c G U + P E l 0 Z W 1 Q Y X R o P l N l Y 3 R p b 2 4 x L 0 J p Z W x l b W F u d H J l Z m Z l b i 9 B Y W 5 n Z X B h c 3 Q l M j B p d G V t J T I w d G 9 l Z 2 V 2 b 2 V n Z C U y M D I w P C 9 J d G V t U G F 0 a D 4 8 L 0 l 0 Z W 1 M b 2 N h d G l v b j 4 8 U 3 R h Y m x l R W 5 0 c m l l c y A v P j w v S X R l b T 4 8 S X R l b T 4 8 S X R l b U x v Y 2 F 0 a W 9 u P j x J d G V t V H l w Z T 5 G b 3 J t d W x h P C 9 J d G V t V H l w Z T 4 8 S X R l b V B h d G g + U 2 V j d G l v b j E v Q m l l b G V t Y W 5 0 c m V m Z m V u L 0 F h b m d l c G F z d C U y M G l 0 Z W 0 l M j B 0 b 2 V n Z X Z v Z W d k J T I w M j E 8 L 0 l 0 Z W 1 Q Y X R o P j w v S X R l b U x v Y 2 F 0 a W 9 u P j x T d G F i b G V F b n R y a W V z I C 8 + P C 9 J d G V t P j x J d G V t P j x J d G V t T G 9 j Y X R p b 2 4 + P E l 0 Z W 1 U e X B l P k Z v c m 1 1 b G E 8 L 0 l 0 Z W 1 U e X B l P j x J d G V t U G F 0 a D 5 T Z W N 0 a W 9 u M S 9 C a W V s Z W 1 h b n R y Z W Z m Z W 4 v Q W F u Z 2 V w Y X N 0 J T I w a X R l b S U y M H R v Z W d l d m 9 l Z 2 Q l M j A y M j w v S X R l b V B h d G g + P C 9 J d G V t T G 9 j Y X R p b 2 4 + P F N 0 Y W J s Z U V u d H J p Z X M g L z 4 8 L 0 l 0 Z W 0 + P E l 0 Z W 0 + P E l 0 Z W 1 M b 2 N h d G l v b j 4 8 S X R l b V R 5 c G U + R m 9 y b X V s Y T w v S X R l b V R 5 c G U + P E l 0 Z W 1 Q Y X R o P l N l Y 3 R p b 2 4 x L 0 J p Z W x l b W F u d H J l Z m Z l b i 9 B Y W 5 n Z X B h c 3 Q l M j B p d G V t J T I w d G 9 l Z 2 V 2 b 2 V n Z C U y M D I z P C 9 J d G V t U G F 0 a D 4 8 L 0 l 0 Z W 1 M b 2 N h d G l v b j 4 8 U 3 R h Y m x l R W 5 0 c m l l c y A v P j w v S X R l b T 4 8 S X R l b T 4 8 S X R l b U x v Y 2 F 0 a W 9 u P j x J d G V t V H l w Z T 5 G b 3 J t d W x h P C 9 J d G V t V H l w Z T 4 8 S X R l b V B h d G g + U 2 V j d G l v b j E v Q m l l b G V t Y W 5 0 c m V m Z m V u L 1 Z v b 3 J 3 Y W F y Z G V s a W p r Z S U y M G t v b G 9 t J T I w a W 5 n Z X Z v Z W d k P C 9 J d G V t U G F 0 a D 4 8 L 0 l 0 Z W 1 M b 2 N h d G l v b j 4 8 U 3 R h Y m x l R W 5 0 c m l l c y A v P j w v S X R l b T 4 8 S X R l b T 4 8 S X R l b U x v Y 2 F 0 a W 9 u P j x J d G V t V H l w Z T 5 G b 3 J t d W x h P C 9 J d G V t V H l w Z T 4 8 S X R l b V B h d G g + U 2 V j d G l v b j E v Q m l l b G V t Y W 5 0 c m V m Z m V u L 1 Z v b 3 J 3 Y W F y Z G V s a W p r Z S U y M G t v b G 9 t J T I w a W 5 n Z X Z v Z W d k M T w v S X R l b V B h d G g + P C 9 J d G V t T G 9 j Y X R p b 2 4 + P F N 0 Y W J s Z U V u d H J p Z X M g L z 4 8 L 0 l 0 Z W 0 + P E l 0 Z W 0 + P E l 0 Z W 1 M b 2 N h d G l v b j 4 8 S X R l b V R 5 c G U + R m 9 y b X V s Y T w v S X R l b V R 5 c G U + P E l 0 Z W 1 Q Y X R o P l N l Y 3 R p b 2 4 x L 0 J p Z W x l b W F u d H J l Z m Z l b i 9 W b 2 9 y d 2 F h c m R l b G l q a 2 U l M j B r b 2 x v b S U y M G l u Z 2 V 2 b 2 V n Z D I 8 L 0 l 0 Z W 1 Q Y X R o P j w v S X R l b U x v Y 2 F 0 a W 9 u P j x T d G F i b G V F b n R y a W V z I C 8 + P C 9 J d G V t P j x J d G V t P j x J d G V t T G 9 j Y X R p b 2 4 + P E l 0 Z W 1 U e X B l P k Z v c m 1 1 b G E 8 L 0 l 0 Z W 1 U e X B l P j x J d G V t U G F 0 a D 5 T Z W N 0 a W 9 u M S 9 C a W V s Z W 1 h b n R y Z W Z m Z W 4 v V m 9 v c n d h Y X J k Z W x p a m t l J T I w a 2 9 s b 2 0 l M j B p b m d l d m 9 l Z 2 Q z P C 9 J d G V t U G F 0 a D 4 8 L 0 l 0 Z W 1 M b 2 N h d G l v b j 4 8 U 3 R h Y m x l R W 5 0 c m l l c y A v P j w v S X R l b T 4 8 S X R l b T 4 8 S X R l b U x v Y 2 F 0 a W 9 u P j x J d G V t V H l w Z T 5 G b 3 J t d W x h P C 9 J d G V t V H l w Z T 4 8 S X R l b V B h d G g + U 2 V j d G l v b j E v Q m l l b G V t Y W 5 0 c m V m Z m V u L 1 Z v b 3 J 3 Y W F y Z G V s a W p r Z S U y M G t v b G 9 t J T I w a W 5 n Z X Z v Z W d k N D w v S X R l b V B h d G g + P C 9 J d G V t T G 9 j Y X R p b 2 4 + P F N 0 Y W J s Z U V u d H J p Z X M g L z 4 8 L 0 l 0 Z W 0 + P E l 0 Z W 0 + P E l 0 Z W 1 M b 2 N h d G l v b j 4 8 S X R l b V R 5 c G U + R m 9 y b X V s Y T w v S X R l b V R 5 c G U + P E l 0 Z W 1 Q Y X R o P l N l Y 3 R p b 2 4 x L 0 J p Z W x l b W F u d H J l Z m Z l b i 9 W b 2 9 y d 2 F h c m R l b G l q a 2 U l M j B r b 2 x v b S U y M G l u Z 2 V 2 b 2 V n Z D U 8 L 0 l 0 Z W 1 Q Y X R o P j w v S X R l b U x v Y 2 F 0 a W 9 u P j x T d G F i b G V F b n R y a W V z I C 8 + P C 9 J d G V t P j x J d G V t P j x J d G V t T G 9 j Y X R p b 2 4 + P E l 0 Z W 1 U e X B l P k Z v c m 1 1 b G E 8 L 0 l 0 Z W 1 U e X B l P j x J d G V t U G F 0 a D 5 T Z W N 0 a W 9 u M S 9 C a W V s Z W 1 h b n R y Z W Z m Z W 4 v V m 9 v c n d h Y X J k Z W x p a m t l J T I w a 2 9 s b 2 0 l M j B p b m d l d m 9 l Z 2 Q 2 P C 9 J d G V t U G F 0 a D 4 8 L 0 l 0 Z W 1 M b 2 N h d G l v b j 4 8 U 3 R h Y m x l R W 5 0 c m l l c y A v P j w v S X R l b T 4 8 S X R l b T 4 8 S X R l b U x v Y 2 F 0 a W 9 u P j x J d G V t V H l w Z T 5 G b 3 J t d W x h P C 9 J d G V t V H l w Z T 4 8 S X R l b V B h d G g + U 2 V j d G l v b j E v Q m l l b G V t Y W 5 0 c m V m Z m V u L 1 Z v b 3 J 3 Y W F y Z G V s a W p r Z S U y M G t v b G 9 t J T I w a W 5 n Z X Z v Z W d k N z w v S X R l b V B h d G g + P C 9 J d G V t T G 9 j Y X R p b 2 4 + P F N 0 Y W J s Z U V u d H J p Z X M g L z 4 8 L 0 l 0 Z W 0 + P E l 0 Z W 0 + P E l 0 Z W 1 M b 2 N h d G l v b j 4 8 S X R l b V R 5 c G U + R m 9 y b X V s Y T w v S X R l b V R 5 c G U + P E l 0 Z W 1 Q Y X R o P l N l Y 3 R p b 2 4 x L 0 J p Z W x l b W F u d H J l Z m Z l b i 9 W b 2 9 y d 2 F h c m R l b G l q a 2 U l M j B r b 2 x v b S U y M G l u Z 2 V 2 b 2 V n Z D g 8 L 0 l 0 Z W 1 Q Y X R o P j w v S X R l b U x v Y 2 F 0 a W 9 u P j x T d G F i b G V F b n R y a W V z I C 8 + P C 9 J d G V t P j x J d G V t P j x J d G V t T G 9 j Y X R p b 2 4 + P E l 0 Z W 1 U e X B l P k Z v c m 1 1 b G E 8 L 0 l 0 Z W 1 U e X B l P j x J d G V t U G F 0 a D 5 T Z W N 0 a W 9 u M S 9 C a W V s Z W 1 h b n R y Z W Z m Z W 4 v V m 9 v c n d h Y X J k Z W x p a m t l J T I w a 2 9 s b 2 0 l M j B p b m d l d m 9 l Z 2 Q 5 P C 9 J d G V t U G F 0 a D 4 8 L 0 l 0 Z W 1 M b 2 N h d G l v b j 4 8 U 3 R h Y m x l R W 5 0 c m l l c y A v P j w v S X R l b T 4 8 S X R l b T 4 8 S X R l b U x v Y 2 F 0 a W 9 u P j x J d G V t V H l w Z T 5 G b 3 J t d W x h P C 9 J d G V t V H l w Z T 4 8 S X R l b V B h d G g + U 2 V j d G l v b j E v Q m l l b G V t Y W 5 0 c m V m Z m V u L 1 Z v b 3 J 3 Y W F y Z G V s a W p r Z S U y M G t v b G 9 t J T I w a W 5 n Z X Z v Z W d k M T A 8 L 0 l 0 Z W 1 Q Y X R o P j w v S X R l b U x v Y 2 F 0 a W 9 u P j x T d G F i b G V F b n R y a W V z I C 8 + P C 9 J d G V t P j x J d G V t P j x J d G V t T G 9 j Y X R p b 2 4 + P E l 0 Z W 1 U e X B l P k Z v c m 1 1 b G E 8 L 0 l 0 Z W 1 U e X B l P j x J d G V t U G F 0 a D 5 T Z W N 0 a W 9 u M S 9 C a W V s Z W 1 h b n R y Z W Z m Z W 4 v V m 9 v c n d h Y X J k Z W x p a m t l J T I w a 2 9 s b 2 0 l M j B p b m d l d m 9 l Z 2 Q x M T w v S X R l b V B h d G g + P C 9 J d G V t T G 9 j Y X R p b 2 4 + P F N 0 Y W J s Z U V u d H J p Z X M g L z 4 8 L 0 l 0 Z W 0 + P E l 0 Z W 0 + P E l 0 Z W 1 M b 2 N h d G l v b j 4 8 S X R l b V R 5 c G U + R m 9 y b X V s Y T w v S X R l b V R 5 c G U + P E l 0 Z W 1 Q Y X R o P l N l Y 3 R p b 2 4 x L 0 J p Z W x l b W F u d H J l Z m Z l b i 9 W b 2 9 y d 2 F h c m R l b G l q a 2 U l M j B r b 2 x v b S U y M G l u Z 2 V 2 b 2 V n Z D E y P C 9 J d G V t U G F 0 a D 4 8 L 0 l 0 Z W 1 M b 2 N h d G l v b j 4 8 U 3 R h Y m x l R W 5 0 c m l l c y A v P j w v S X R l b T 4 8 S X R l b T 4 8 S X R l b U x v Y 2 F 0 a W 9 u P j x J d G V t V H l w Z T 5 G b 3 J t d W x h P C 9 J d G V t V H l w Z T 4 8 S X R l b V B h d G g + U 2 V j d G l v b j E v Q m l l b G V t Y W 5 0 c m V m Z m V u L 1 Z v b 3 J 3 Y W F y Z G V s a W p r Z S U y M G t v b G 9 t J T I w a W 5 n Z X Z v Z W d k M T M 8 L 0 l 0 Z W 1 Q Y X R o P j w v S X R l b U x v Y 2 F 0 a W 9 u P j x T d G F i b G V F b n R y a W V z I C 8 + P C 9 J d G V t P j x J d G V t P j x J d G V t T G 9 j Y X R p b 2 4 + P E l 0 Z W 1 U e X B l P k Z v c m 1 1 b G E 8 L 0 l 0 Z W 1 U e X B l P j x J d G V t U G F 0 a D 5 T Z W N 0 a W 9 u M S 9 C a W V s Z W 1 h b n R y Z W Z m Z W 4 v V m 9 v c n d h Y X J k Z W x p a m t l J T I w a 2 9 s b 2 0 l M j B p b m d l d m 9 l Z 2 Q x N D w v S X R l b V B h d G g + P C 9 J d G V t T G 9 j Y X R p b 2 4 + P F N 0 Y W J s Z U V u d H J p Z X M g L z 4 8 L 0 l 0 Z W 0 + P E l 0 Z W 0 + P E l 0 Z W 1 M b 2 N h d G l v b j 4 8 S X R l b V R 5 c G U + R m 9 y b X V s Y T w v S X R l b V R 5 c G U + P E l 0 Z W 1 Q Y X R o P l N l Y 3 R p b 2 4 x L 0 J p Z W x l b W F u d H J l Z m Z l b i 9 W b 2 9 y d 2 F h c m R l b G l q a 2 U l M j B r b 2 x v b S U y M G l u Z 2 V 2 b 2 V n Z D E 1 P C 9 J d G V t U G F 0 a D 4 8 L 0 l 0 Z W 1 M b 2 N h d G l v b j 4 8 U 3 R h Y m x l R W 5 0 c m l l c y A v P j w v S X R l b T 4 8 S X R l b T 4 8 S X R l b U x v Y 2 F 0 a W 9 u P j x J d G V t V H l w Z T 5 G b 3 J t d W x h P C 9 J d G V t V H l w Z T 4 8 S X R l b V B h d G g + U 2 V j d G l v b j E v Q m l l b G V t Y W 5 0 c m V m Z m V u L 1 Z v b 3 J 3 Y W F y Z G V s a W p r Z S U y M G t v b G 9 t J T I w a W 5 n Z X Z v Z W d k M T Y 8 L 0 l 0 Z W 1 Q Y X R o P j w v S X R l b U x v Y 2 F 0 a W 9 u P j x T d G F i b G V F b n R y a W V z I C 8 + P C 9 J d G V t P j x J d G V t P j x J d G V t T G 9 j Y X R p b 2 4 + P E l 0 Z W 1 U e X B l P k Z v c m 1 1 b G E 8 L 0 l 0 Z W 1 U e X B l P j x J d G V t U G F 0 a D 5 T Z W N 0 a W 9 u M S 9 C a W V s Z W 1 h b n R y Z W Z m Z W 4 v V m 9 v c n d h Y X J k Z W x p a m t l J T I w a 2 9 s b 2 0 l M j B p b m d l d m 9 l Z 2 Q x N z w v S X R l b V B h d G g + P C 9 J d G V t T G 9 j Y X R p b 2 4 + P F N 0 Y W J s Z U V u d H J p Z X M g L z 4 8 L 0 l 0 Z W 0 + P E l 0 Z W 0 + P E l 0 Z W 1 M b 2 N h d G l v b j 4 8 S X R l b V R 5 c G U + R m 9 y b X V s Y T w v S X R l b V R 5 c G U + P E l 0 Z W 1 Q Y X R o P l N l Y 3 R p b 2 4 x L 0 J p Z W x l b W F u d H J l Z m Z l b i 9 W b 2 9 y d 2 F h c m R l b G l q a 2 U l M j B r b 2 x v b S U y M G l u Z 2 V 2 b 2 V n Z D E 4 P C 9 J d G V t U G F 0 a D 4 8 L 0 l 0 Z W 1 M b 2 N h d G l v b j 4 8 U 3 R h Y m x l R W 5 0 c m l l c y A v P j w v S X R l b T 4 8 S X R l b T 4 8 S X R l b U x v Y 2 F 0 a W 9 u P j x J d G V t V H l w Z T 5 G b 3 J t d W x h P C 9 J d G V t V H l w Z T 4 8 S X R l b V B h d G g + U 2 V j d G l v b j E v Q m l l b G V t Y W 5 0 c m V m Z m V u L 1 Z v b 3 J 3 Y W F y Z G V s a W p r Z S U y M G t v b G 9 t J T I w a W 5 n Z X Z v Z W d k M T k 8 L 0 l 0 Z W 1 Q Y X R o P j w v S X R l b U x v Y 2 F 0 a W 9 u P j x T d G F i b G V F b n R y a W V z I C 8 + P C 9 J d G V t P j x J d G V t P j x J d G V t T G 9 j Y X R p b 2 4 + P E l 0 Z W 1 U e X B l P k Z v c m 1 1 b G E 8 L 0 l 0 Z W 1 U e X B l P j x J d G V t U G F 0 a D 5 T Z W N 0 a W 9 u M S 9 C a W V s Z W 1 h b n R y Z W Z m Z W 4 v V m 9 v c n d h Y X J k Z W x p a m t l J T I w a 2 9 s b 2 0 l M j B p b m d l d m 9 l Z 2 Q y M D w v S X R l b V B h d G g + P C 9 J d G V t T G 9 j Y X R p b 2 4 + P F N 0 Y W J s Z U V u d H J p Z X M g L z 4 8 L 0 l 0 Z W 0 + P E l 0 Z W 0 + P E l 0 Z W 1 M b 2 N h d G l v b j 4 8 S X R l b V R 5 c G U + R m 9 y b X V s Y T w v S X R l b V R 5 c G U + P E l 0 Z W 1 Q Y X R o P l N l Y 3 R p b 2 4 x L 0 J p Z W x l b W F u d H J l Z m Z l b i 9 W b 2 9 y d 2 F h c m R l b G l q a 2 U l M j B r b 2 x v b S U y M G l u Z 2 V 2 b 2 V n Z D I x P C 9 J d G V t U G F 0 a D 4 8 L 0 l 0 Z W 1 M b 2 N h d G l v b j 4 8 U 3 R h Y m x l R W 5 0 c m l l c y A v P j w v S X R l b T 4 8 S X R l b T 4 8 S X R l b U x v Y 2 F 0 a W 9 u P j x J d G V t V H l w Z T 5 G b 3 J t d W x h P C 9 J d G V t V H l w Z T 4 8 S X R l b V B h d G g + U 2 V j d G l v b j E v Q m l l b G V t Y W 5 0 c m V m Z m V u L 1 Z v b 3 J 3 Y W F y Z G V s a W p r Z S U y M G t v b G 9 t J T I w a W 5 n Z X Z v Z W d k M j I 8 L 0 l 0 Z W 1 Q Y X R o P j w v S X R l b U x v Y 2 F 0 a W 9 u P j x T d G F i b G V F b n R y a W V z I C 8 + P C 9 J d G V t P j x J d G V t P j x J d G V t T G 9 j Y X R p b 2 4 + P E l 0 Z W 1 U e X B l P k Z v c m 1 1 b G E 8 L 0 l 0 Z W 1 U e X B l P j x J d G V t U G F 0 a D 5 T Z W N 0 a W 9 u M S 9 C a W V s Z W 1 h b n R y Z W Z m Z W 4 v V m 9 v c n d h Y X J k Z W x p a m t l J T I w a 2 9 s b 2 0 l M j B p b m d l d m 9 l Z 2 Q y M z w v S X R l b V B h d G g + P C 9 J d G V t T G 9 j Y X R p b 2 4 + P F N 0 Y W J s Z U V u d H J p Z X M g L z 4 8 L 0 l 0 Z W 0 + P E l 0 Z W 0 + P E l 0 Z W 1 M b 2 N h d G l v b j 4 8 S X R l b V R 5 c G U + R m 9 y b X V s Y T w v S X R l b V R 5 c G U + P E l 0 Z W 1 Q Y X R o P l N l Y 3 R p b 2 4 x L 0 J p Z W x l b W F u d H J l Z m Z l b i 9 W b 2 9 y d 2 F h c m R l b G l q a 2 U l M j B r b 2 x v b S U y M G l u Z 2 V 2 b 2 V n Z D I 0 P C 9 J d G V t U G F 0 a D 4 8 L 0 l 0 Z W 1 M b 2 N h d G l v b j 4 8 U 3 R h Y m x l R W 5 0 c m l l c y A v P j w v S X R l b T 4 8 S X R l b T 4 8 S X R l b U x v Y 2 F 0 a W 9 u P j x J d G V t V H l w Z T 5 G b 3 J t d W x h P C 9 J d G V t V H l w Z T 4 8 S X R l b V B h d G g + U 2 V j d G l v b j E v Q m l l b G V t Y W 5 0 c m V m Z m V u L 1 Z v b 3 J 3 Y W F y Z G V s a W p r Z S U y M G t v b G 9 t J T I w a W 5 n Z X Z v Z W d k M j U 8 L 0 l 0 Z W 1 Q Y X R o P j w v S X R l b U x v Y 2 F 0 a W 9 u P j x T d G F i b G V F b n R y a W V z I C 8 + P C 9 J d G V t P j x J d G V t P j x J d G V t T G 9 j Y X R p b 2 4 + P E l 0 Z W 1 U e X B l P k Z v c m 1 1 b G E 8 L 0 l 0 Z W 1 U e X B l P j x J d G V t U G F 0 a D 5 T Z W N 0 a W 9 u M S 9 C a W V s Z W 1 h b n R y Z W Z m Z W 4 v V m 9 v c n d h Y X J k Z W x p a m t l J T I w a 2 9 s b 2 0 l M j B p b m d l d m 9 l Z 2 Q y N j w v S X R l b V B h d G g + P C 9 J d G V t T G 9 j Y X R p b 2 4 + P F N 0 Y W J s Z U V u d H J p Z X M g L z 4 8 L 0 l 0 Z W 0 + P E l 0 Z W 0 + P E l 0 Z W 1 M b 2 N h d G l v b j 4 8 S X R l b V R 5 c G U + R m 9 y b X V s Y T w v S X R l b V R 5 c G U + P E l 0 Z W 1 Q Y X R o P l N l Y 3 R p b 2 4 x L 0 J p Z W x l b W F u d H J l Z m Z l b i 9 W b 2 9 y d 2 F h c m R l b G l q a 2 U l M j B r b 2 x v b S U y M G l u Z 2 V 2 b 2 V n Z D I 3 P C 9 J d G V t U G F 0 a D 4 8 L 0 l 0 Z W 1 M b 2 N h d G l v b j 4 8 U 3 R h Y m x l R W 5 0 c m l l c y A v P j w v S X R l b T 4 8 S X R l b T 4 8 S X R l b U x v Y 2 F 0 a W 9 u P j x J d G V t V H l w Z T 5 G b 3 J t d W x h P C 9 J d G V t V H l w Z T 4 8 S X R l b V B h d G g + U 2 V j d G l v b j E v Q m l l b G V t Y W 5 0 c m V m Z m V u L 1 Z v b 3 J 3 Y W F y Z G V s a W p r Z S U y M G t v b G 9 t J T I w a W 5 n Z X Z v Z W d k M j g 8 L 0 l 0 Z W 1 Q Y X R o P j w v S X R l b U x v Y 2 F 0 a W 9 u P j x T d G F i b G V F b n R y a W V z I C 8 + P C 9 J d G V t P j x J d G V t P j x J d G V t T G 9 j Y X R p b 2 4 + P E l 0 Z W 1 U e X B l P k Z v c m 1 1 b G E 8 L 0 l 0 Z W 1 U e X B l P j x J d G V t U G F 0 a D 5 T Z W N 0 a W 9 u M S 9 C a W V s Z W 1 h b n R y Z W Z m Z W 4 v V m 9 v c n d h Y X J k Z W x p a m t l J T I w a 2 9 s b 2 0 l M j B p b m d l d m 9 l Z 2 Q y O T w v S X R l b V B h d G g + P C 9 J d G V t T G 9 j Y X R p b 2 4 + P F N 0 Y W J s Z U V u d H J p Z X M g L z 4 8 L 0 l 0 Z W 0 + P E l 0 Z W 0 + P E l 0 Z W 1 M b 2 N h d G l v b j 4 8 S X R l b V R 5 c G U + R m 9 y b X V s Y T w v S X R l b V R 5 c G U + P E l 0 Z W 1 Q Y X R o P l N l Y 3 R p b 2 4 x L 0 J p Z W x l b W F u d H J l Z m Z l b i 9 B Y W 5 n Z X B h c 3 Q l M j B p d G V t J T I w d G 9 l Z 2 V 2 b 2 V n Z C U y M D I 0 P C 9 J d G V t U G F 0 a D 4 8 L 0 l 0 Z W 1 M b 2 N h d G l v b j 4 8 U 3 R h Y m x l R W 5 0 c m l l c y A v P j w v S X R l b T 4 8 S X R l b T 4 8 S X R l b U x v Y 2 F 0 a W 9 u P j x J d G V t V H l w Z T 5 G b 3 J t d W x h P C 9 J d G V t V H l w Z T 4 8 S X R l b V B h d G g + U 2 V j d G l v b j E v Q m l l b G V t Y W 5 0 c m V m Z m V u L 0 F h b m d l c G F z d C U y M G l 0 Z W 0 l M j B 0 b 2 V n Z X Z v Z W d k J T I w M j U 8 L 0 l 0 Z W 1 Q Y X R o P j w v S X R l b U x v Y 2 F 0 a W 9 u P j x T d G F i b G V F b n R y a W V z I C 8 + P C 9 J d G V t P j x J d G V t P j x J d G V t T G 9 j Y X R p b 2 4 + P E l 0 Z W 1 U e X B l P k Z v c m 1 1 b G E 8 L 0 l 0 Z W 1 U e X B l P j x J d G V t U G F 0 a D 5 T Z W N 0 a W 9 u M S 9 C a W V s Z W 1 h b n R y Z W Z m Z W 4 v Q W F u Z 2 V w Y X N 0 J T I w a X R l b S U y M H R v Z W d l d m 9 l Z 2 Q l M j A y N j w v S X R l b V B h d G g + P C 9 J d G V t T G 9 j Y X R p b 2 4 + P F N 0 Y W J s Z U V u d H J p Z X M g L z 4 8 L 0 l 0 Z W 0 + P E l 0 Z W 0 + P E l 0 Z W 1 M b 2 N h d G l v b j 4 8 S X R l b V R 5 c G U + R m 9 y b X V s Y T w v S X R l b V R 5 c G U + P E l 0 Z W 1 Q Y X R o P l N l Y 3 R p b 2 4 x L 0 J p Z W x l b W F u d H J l Z m Z l b i 9 B Y W 5 n Z X B h c 3 Q l M j B p d G V t J T I w d G 9 l Z 2 V 2 b 2 V n Z C U y M D I 3 P C 9 J d G V t U G F 0 a D 4 8 L 0 l 0 Z W 1 M b 2 N h d G l v b j 4 8 U 3 R h Y m x l R W 5 0 c m l l c y A v P j w v S X R l b T 4 8 S X R l b T 4 8 S X R l b U x v Y 2 F 0 a W 9 u P j x J d G V t V H l w Z T 5 G b 3 J t d W x h P C 9 J d G V t V H l w Z T 4 8 S X R l b V B h d G g + U 2 V j d G l v b j E v Q m l l b G V t Y W 5 0 c m V m Z m V u L 0 t v b G 9 t b W V u J T I w d m V y d 2 l q Z G V y Z D w v S X R l b V B h d G g + P C 9 J d G V t T G 9 j Y X R p b 2 4 + P F N 0 Y W J s Z U V u d H J p Z X M g L z 4 8 L 0 l 0 Z W 0 + P E l 0 Z W 0 + P E l 0 Z W 1 M b 2 N h d G l v b j 4 8 S X R l b V R 5 c G U + R m 9 y b X V s Y T w v S X R l b V R 5 c G U + P E l 0 Z W 1 Q Y X R o P l N l Y 3 R p b 2 4 x L 0 J p Z W x l b W F u d H J l Z m Z l b i 9 W b 2 x n b 3 J k Z S U y M H Z h b i U y M G t v b G 9 t b W V u J T I w Z 2 V 3 a W p 6 a W d k P C 9 J d G V t U G F 0 a D 4 8 L 0 l 0 Z W 1 M b 2 N h d G l v b j 4 8 U 3 R h Y m x l R W 5 0 c m l l c y A v P j w v S X R l b T 4 8 S X R l b T 4 8 S X R l b U x v Y 2 F 0 a W 9 u P j x J d G V t V H l w Z T 5 G b 3 J t d W x h P C 9 J d G V t V H l w Z T 4 8 S X R l b V B h d G g + U 2 V j d G l v b j E v S 0 R N P C 9 J d G V t U G F 0 a D 4 8 L 0 l 0 Z W 1 M b 2 N h d G l v b j 4 8 U 3 R h Y m x l R W 5 0 c m l l c z 4 8 R W 5 0 c n k g V H l w Z T 0 i S X N Q c m l 2 Y X R l I i B W Y W x 1 Z T 0 i b D A i I C 8 + P E V u d H J 5 I F R 5 c G U 9 I k x v Y W R U b 1 J l c G 9 y d E R p c 2 F i b G V k I i B W Y W x 1 Z T 0 i b D A i I C 8 + P E V u d H J 5 I F R 5 c G U 9 I k Z p b G x F b m F i b G V k I i B W Y W x 1 Z T 0 i b D E i I C 8 + P E V u d H J 5 I F R 5 c G U 9 I k Z p b G x P Y m p l Y 3 R U e X B l I i B W Y W x 1 Z T 0 i c 1 R h Y m x l I i A v P j x F b n R y e S B U e X B l P S J G a W x s V G 9 E Y X R h T W 9 k Z W x F b m F i b G V k I i B W Y W x 1 Z T 0 i b D A i I C 8 + P E V u d H J 5 I F R 5 c G U 9 I l F 1 Z X J 5 S U Q i I F Z h b H V l P S J z O G Z m M W J l N z c t M D Y z N y 0 0 N T F i L W I z Y j g t N D R l Z D M 2 Y 2 F l M T A 4 I i A v P j x F b n R y e S B U e X B l P S J G a W x s V G F y Z 2 V 0 I i B W Y W x 1 Z T 0 i c 0 t E T S I g L z 4 8 R W 5 0 c n k g V H l w Z T 0 i R m l s b G V k Q 2 9 t c G x l d G V S Z X N 1 b H R U b 1 d v c m t z a G V l d C I g V m F s d W U 9 I m w x I i A v P j x F b n R y e S B U e X B l P S J O Y W 1 l V X B k Y X R l Z E F m d G V y R m l s b C I g V m F s d W U 9 I m w w I i A v P j x F b n R y e S B U e X B l P S J G a W x s V G F y Z 2 V 0 T m F t Z U N 1 c 3 R v b W l 6 Z W Q i I F Z h b H V l P S J s M S I g L z 4 8 R W 5 0 c n k g V H l w Z T 0 i U m V z d W x 0 V H l w Z S I g V m F s d W U 9 I n N U Y W J s Z S I g L z 4 8 R W 5 0 c n k g V H l w Z T 0 i Q n V m Z m V y T m V 4 d F J l Z n J l c 2 g i I F Z h b H V l P S J s M S I g L z 4 8 R W 5 0 c n k g V H l w Z T 0 i R m l s b E V y c m 9 y Q 2 9 1 b n Q i I F Z h b H V l P S J s M C I g L z 4 8 R W 5 0 c n k g V H l w Z T 0 i R m l s b E x h c 3 R V c G R h d G V k I i B W Y W x 1 Z T 0 i Z D I w M j Y t M D I t M D h U M T A 6 M T g 6 M j k u N j c 4 N z g y M F o i I C 8 + P E V u d H J 5 I F R 5 c G U 9 I k Z p b G x F c n J v c k N v Z G U i I F Z h b H V l P S J z V W 5 r b m 9 3 b i I g L z 4 8 R W 5 0 c n k g V H l w Z T 0 i R m l s b E N v b H V t b l R 5 c G V z I i B W Y W x 1 Z T 0 i c 0 J n W U d C Z 1 l H Q m d Z R E F 3 T U R B d 0 1 E Q X d N R E F 3 T U d B d 0 1 E Q X d N R E F 3 W U R B d 0 1 E Q X d N R E J n W U d C Z 2 N I Q m d Z R 0 J n W U d B d 1 l H Q m d Z P S I g L z 4 8 R W 5 0 c n k g V H l w Z T 0 i R m l s b E N v b H V t b k 5 h b W V z I i B W Y W x 1 Z T 0 i c 1 s m c X V v d D t L c m l u Z 2 R h Z y Z x d W 9 0 O y w m c X V v d D t W Z X I u b n I u J n F 1 b 3 Q 7 L C Z x d W 9 0 O 0 5 h Y W 0 g d m V y Z W 5 p Z 2 l u Z y Z x d W 9 0 O y w m c X V v d D t E Z W x l Z 2 F 0 a W U m c X V v d D s s J n F 1 b 3 Q 7 T X V 6 a W V r a 2 9 y c H M g d G l q Z G V u c y B t Y X J z I G V u I G R l Z m l s X H U w M E U 5 J n F 1 b 3 Q 7 L C Z x d W 9 0 O 0 R l Z W x u Y W 1 l I G p l d W d k a 2 9 u a W 5 n c 2 N o a W V 0 Z W 4 m c X V v d D s s J n F 1 b 3 Q 7 T W F q L i B T Z W 5 p b 3 J l b i B q d X J l c m V u I G J p a i B t Y X J z J n F 1 b 3 Q 7 L C Z x d W 9 0 O 0 1 h a i 4 g S m V 1 Z 2 Q g a n V y Z X J l b i B i a W o g b W F y c y Z x d W 9 0 O y w m c X V v d D t L b 3 J w c y B z Z W 5 p b 3 J l b i Z x d W 9 0 O y w m c X V v d D t K d W 5 p b 3 J l b i B r b 3 J w c y A x J n F 1 b 3 Q 7 L C Z x d W 9 0 O 0 p 1 b m l v c m V u I G t v c n B z I D I m c X V v d D s s J n F 1 b 3 Q 7 Q X N w a X J h b n R l b i B r b 3 J w c y A x J n F 1 b 3 Q 7 L C Z x d W 9 0 O 0 F z c G l y Y W 5 0 Z W 4 g a 2 9 y c H M g M i Z x d W 9 0 O y w m c X V v d D t B Y 3 J v Y m F 0 a X N j a C B z Z W 5 p b 3 J l b i Z x d W 9 0 O y w m c X V v d D t B Y 3 J v Y m F 0 a X N j a C B q d W 5 p b 3 J l b i Z x d W 9 0 O y w m c X V v d D t B Y 3 J v Y m F 0 a X N j a C B h c 3 B p c m F u d G V u J n F 1 b 3 Q 7 L C Z x d W 9 0 O 0 9 w Z 2 V 2 Z W 4 g d m V u Z G V s a W V y c y B p b m Q u J n F 1 b 3 Q 7 L C Z x d W 9 0 O 0 F j c m 9 i L i B z Z W 5 p b 3 J l b i B p b m R p d i 4 m c X V v d D s s J n F 1 b 3 Q 7 Q W N y b 2 I u I G p 1 b m l v c m V u I G l u Z G l 2 L i Z x d W 9 0 O y w m c X V v d D t B Y 3 J v Y i 4 g Y X N w a X J h b n R l b i B p b m R p d i 4 m c X V v d D s s J n F 1 b 3 Q 7 R G V l b G 5 h b W U g a G 9 v Z m R r b 3 J w c y Z x d W 9 0 O y w m c X V v d D t H c m 9 l c G V u L C B 0 Z W F t c y w g Z W 5 z Z W 1 i b G V z I G V u I G R 1 b 1 x 1 M D A y N 3 M m c X V v d D s s J n F 1 b 3 Q 7 Q W F u d G F s I G 9 w Z 2 V n Z X Z l b i B t Y W p v c m V 0 d G V z J n F 1 b 3 Q 7 L C Z x d W 9 0 O 0 9 w Z 2 V 2 Z W 4 g Y m l l b G V t Y W 5 u Z W 4 m c X V v d D s s J n F 1 b 3 Q 7 U 2 V u a W 9 y Z W 4 m c X V v d D s s J n F 1 b 3 Q 7 S m 9 u Z y B W b 2 x 3 Y X N z Z W 5 l J n F 1 b 3 Q 7 L C Z x d W 9 0 O 0 p 1 b m l v c m V u J n F 1 b 3 Q 7 L C Z x d W 9 0 O 0 F z c G l y Y W 5 0 Z W 4 m c X V v d D s s J n F 1 b 3 Q 7 R G V l b G 5 h b W U g b W F y a 2 V 0 Z W 5 0 c 3 R l c n M m c X V v d D s s J n F 1 b 3 Q 7 Q W F u d G F s I G x 1 Y 2 h 0 Z 2 V 3 Z W V y c 2 N o d X R 0 Z X J z J n F 1 b 3 Q 7 L C Z x d W 9 0 O 0 F h b n R h b C B s d W N o d H B p c 3 R v b 2 x z Y 2 h 1 d H R l c n M m c X V v d D s s J n F 1 b 3 Q 7 Q W F u d G F s I G h h b m R i b 2 9 n c 2 N o d X R 0 Z X J z J n F 1 b 3 Q 7 L C Z x d W 9 0 O 0 F h b n R h b C B r c n V p c 2 J v b 2 d z Y 2 h 1 d H R l c n M m c X V v d D s s J n F 1 b 3 Q 7 K E F h b n R h b C B q Z X V n Z G t v c n B z Z W 4 m c X V v d D s s J n F 1 b 3 Q 7 V G 9 0 Y W F s I G F h b n R h b C B k Z W V s b m V t Z X J z J n F 1 b 3 Q 7 L C Z x d W 9 0 O 1 d h Y X J 2 Y W 4 g Y W F u d G F s I G p l d W d k I C h 0 L 2 0 g M T U g a m F h c i k m c X V v d D s s J n F 1 b 3 Q 7 S 2 F u b 2 4 g Z X R j L i Z x d W 9 0 O y w m c X V v d D t Q Y W F y Z G V u I G V u L 2 9 m I G t v Z X R z Z W 4 m c X V v d D s s J n F 1 b 3 Q 7 V G 9 l b G l j a H R p b m c v b 3 B t Z X J r a W 5 n Z W 4 m c X V v d D s s J n F 1 b 3 Q 7 S W 5 6 Z W 5 k a W 5 n L U l E J n F 1 b 3 Q 7 L C Z x d W 9 0 O 0 l u e m V u Z G R h d H V t J n F 1 b 3 Q 7 L C Z x d W 9 0 O 0 R h d G U g V X B k Y X R l Z C Z x d W 9 0 O y w m c X V v d D t O Y W F t I H Z h b i B o Z X Q g a G 9 v Z m R r b 3 J w c y Z x d W 9 0 O y w m c X V v d D t a Y W w g b 3 A g d H J l Z G V u I G F s c y A o a G 9 v Z m R r b 3 J w c y k m c X V v d D s s J n F 1 b 3 Q 7 V m 9 y b S B 2 Y W 4 g d H d l Z S B t d X p p Z W t 3 Z X J r Z W 4 g K G h v b 2 Z k a 2 9 y c H M p J n F 1 b 3 Q 7 L C Z x d W 9 0 O 1 p h b C B 1 a X R r b 2 1 l b i B p b i B k Z T o g K G h v b 2 Z k a 2 9 y c H M p J n F 1 b 3 Q 7 L C Z x d W 9 0 O 0 1 1 e m l l a 3 d l c m s x I C h o b 2 9 m Z G t v c n B z K S Z x d W 9 0 O y w m c X V v d D t N d X p p Z W t 3 Z X J r M i A o a G 9 v Z m R r b 3 J w c y k m c X V v d D s s J n F 1 b 3 Q 7 S 2 9 y c H M g Y m V z d G F h d C B 1 a X Q g L i 4 u I G R l Z W x u Z W 1 l c n M g K G h v b 2 Z k a 2 9 y c H M p J n F 1 b 3 Q 7 L C Z x d W 9 0 O 1 d v c m R 0 I G V y I G d l Y n J 1 a W s g Z 2 V t Y W F r d C B 2 Y W 4 g b W V j a G F u a X N j a G U g b X V 6 a W V r P y Z x d W 9 0 O y w m c X V v d D t P b m R l c m R l b G V u J n F 1 b 3 Q 7 L C Z x d W 9 0 O 1 N l Y 3 R p Z X M m c X V v d D s s J n F 1 b 3 Q 7 T G V l Z n R p a m R z Y 2 F 0 Z W d v c m l l J n F 1 b 3 Q 7 X S I g L z 4 8 R W 5 0 c n k g V H l w Z T 0 i R m l s b E N v d W 5 0 I i B W Y W x 1 Z T 0 i b D E 0 I i A v P j x F b n R y e S B U e X B l P S J B Z G R l Z F R v R G F 0 Y U 1 v Z G V s I i B W Y W x 1 Z T 0 i b D A i I C 8 + P E V u d H J 5 I F R 5 c G U 9 I k Z p b G x T d G F 0 d X M i I F Z h b H V l P S J z Q 2 9 t c G x l d G U i I C 8 + P E V u d H J 5 I F R 5 c G U 9 I l J l b G F 0 a W 9 u c 2 h p c E l u Z m 9 D b 2 5 0 Y W l u Z X I i I F Z h b H V l P S J z e y Z x d W 9 0 O 2 N v b H V t b k N v d W 5 0 J n F 1 b 3 Q 7 O j U z L C Z x d W 9 0 O 2 t l e U N v b H V t b k 5 h b W V z J n F 1 b 3 Q 7 O l t d L C Z x d W 9 0 O 3 F 1 Z X J 5 U m V s Y X R p b 2 5 z a G l w c y Z x d W 9 0 O z p b X S w m c X V v d D t j b 2 x 1 b W 5 J Z G V u d G l 0 a W V z J n F 1 b 3 Q 7 O l s m c X V v d D t T Z W N 0 a W 9 u M S 9 L R E 0 v Q X V 0 b 1 J l b W 9 2 Z W R D b 2 x 1 b W 5 z M S 5 7 S 3 J p b m d k Y W c s M H 0 m c X V v d D s s J n F 1 b 3 Q 7 U 2 V j d G l v b j E v S 0 R N L 0 F 1 d G 9 S Z W 1 v d m V k Q 2 9 s d W 1 u c z E u e 1 Z l c i 5 u c i 4 s M X 0 m c X V v d D s s J n F 1 b 3 Q 7 U 2 V j d G l v b j E v S 0 R N L 0 F 1 d G 9 S Z W 1 v d m V k Q 2 9 s d W 1 u c z E u e 0 5 h Y W 0 g d m V y Z W 5 p Z 2 l u Z y w y f S Z x d W 9 0 O y w m c X V v d D t T Z W N 0 a W 9 u M S 9 L R E 0 v Q X V 0 b 1 J l b W 9 2 Z W R D b 2 x 1 b W 5 z M S 5 7 R G V s Z W d h d G l l L D N 9 J n F 1 b 3 Q 7 L C Z x d W 9 0 O 1 N l Y 3 R p b 2 4 x L 0 t E T S 9 B d X R v U m V t b 3 Z l Z E N v b H V t b n M x L n t N d X p p Z W t r b 3 J w c y B 0 a W p k Z W 5 z I G 1 h c n M g Z W 4 g Z G V m a W x c d T A w R T k s N H 0 m c X V v d D s s J n F 1 b 3 Q 7 U 2 V j d G l v b j E v S 0 R N L 0 F 1 d G 9 S Z W 1 v d m V k Q 2 9 s d W 1 u c z E u e 0 R l Z W x u Y W 1 l I G p l d W d k a 2 9 u a W 5 n c 2 N o a W V 0 Z W 4 s N X 0 m c X V v d D s s J n F 1 b 3 Q 7 U 2 V j d G l v b j E v S 0 R N L 0 F 1 d G 9 S Z W 1 v d m V k Q 2 9 s d W 1 u c z E u e 0 1 h a i 4 g U 2 V u a W 9 y Z W 4 g a n V y Z X J l b i B i a W o g b W F y c y w 2 f S Z x d W 9 0 O y w m c X V v d D t T Z W N 0 a W 9 u M S 9 L R E 0 v Q X V 0 b 1 J l b W 9 2 Z W R D b 2 x 1 b W 5 z M S 5 7 T W F q L i B K Z X V n Z C B q d X J l c m V u I G J p a i B t Y X J z L D d 9 J n F 1 b 3 Q 7 L C Z x d W 9 0 O 1 N l Y 3 R p b 2 4 x L 0 t E T S 9 B d X R v U m V t b 3 Z l Z E N v b H V t b n M x L n t L b 3 J w c y B z Z W 5 p b 3 J l b i w 4 f S Z x d W 9 0 O y w m c X V v d D t T Z W N 0 a W 9 u M S 9 L R E 0 v Q X V 0 b 1 J l b W 9 2 Z W R D b 2 x 1 b W 5 z M S 5 7 S n V u a W 9 y Z W 4 g a 2 9 y c H M g M S w 5 f S Z x d W 9 0 O y w m c X V v d D t T Z W N 0 a W 9 u M S 9 L R E 0 v Q X V 0 b 1 J l b W 9 2 Z W R D b 2 x 1 b W 5 z M S 5 7 S n V u a W 9 y Z W 4 g a 2 9 y c H M g M i w x M H 0 m c X V v d D s s J n F 1 b 3 Q 7 U 2 V j d G l v b j E v S 0 R N L 0 F 1 d G 9 S Z W 1 v d m V k Q 2 9 s d W 1 u c z E u e 0 F z c G l y Y W 5 0 Z W 4 g a 2 9 y c H M g M S w x M X 0 m c X V v d D s s J n F 1 b 3 Q 7 U 2 V j d G l v b j E v S 0 R N L 0 F 1 d G 9 S Z W 1 v d m V k Q 2 9 s d W 1 u c z E u e 0 F z c G l y Y W 5 0 Z W 4 g a 2 9 y c H M g M i w x M n 0 m c X V v d D s s J n F 1 b 3 Q 7 U 2 V j d G l v b j E v S 0 R N L 0 F 1 d G 9 S Z W 1 v d m V k Q 2 9 s d W 1 u c z E u e 0 F j c m 9 i Y X R p c 2 N o I H N l b m l v c m V u L D E z f S Z x d W 9 0 O y w m c X V v d D t T Z W N 0 a W 9 u M S 9 L R E 0 v Q X V 0 b 1 J l b W 9 2 Z W R D b 2 x 1 b W 5 z M S 5 7 Q W N y b 2 J h d G l z Y 2 g g a n V u a W 9 y Z W 4 s M T R 9 J n F 1 b 3 Q 7 L C Z x d W 9 0 O 1 N l Y 3 R p b 2 4 x L 0 t E T S 9 B d X R v U m V t b 3 Z l Z E N v b H V t b n M x L n t B Y 3 J v Y m F 0 a X N j a C B h c 3 B p c m F u d G V u L D E 1 f S Z x d W 9 0 O y w m c X V v d D t T Z W N 0 a W 9 u M S 9 L R E 0 v Q X V 0 b 1 J l b W 9 2 Z W R D b 2 x 1 b W 5 z M S 5 7 T 3 B n Z X Z l b i B 2 Z W 5 k Z W x p Z X J z I G l u Z C 4 s M T Z 9 J n F 1 b 3 Q 7 L C Z x d W 9 0 O 1 N l Y 3 R p b 2 4 x L 0 t E T S 9 B d X R v U m V t b 3 Z l Z E N v b H V t b n M x L n t B Y 3 J v Y i 4 g c 2 V u a W 9 y Z W 4 g a W 5 k a X Y u L D E 3 f S Z x d W 9 0 O y w m c X V v d D t T Z W N 0 a W 9 u M S 9 L R E 0 v Q X V 0 b 1 J l b W 9 2 Z W R D b 2 x 1 b W 5 z M S 5 7 Q W N y b 2 I u I G p 1 b m l v c m V u I G l u Z G l 2 L i w x O H 0 m c X V v d D s s J n F 1 b 3 Q 7 U 2 V j d G l v b j E v S 0 R N L 0 F 1 d G 9 S Z W 1 v d m V k Q 2 9 s d W 1 u c z E u e 0 F j c m 9 i L i B h c 3 B p c m F u d G V u I G l u Z G l 2 L i w x O X 0 m c X V v d D s s J n F 1 b 3 Q 7 U 2 V j d G l v b j E v S 0 R N L 0 F 1 d G 9 S Z W 1 v d m V k Q 2 9 s d W 1 u c z E u e 0 R l Z W x u Y W 1 l I G h v b 2 Z k a 2 9 y c H M s M j B 9 J n F 1 b 3 Q 7 L C Z x d W 9 0 O 1 N l Y 3 R p b 2 4 x L 0 t E T S 9 B d X R v U m V t b 3 Z l Z E N v b H V t b n M x L n t H c m 9 l c G V u L C B 0 Z W F t c y w g Z W 5 z Z W 1 i b G V z I G V u I G R 1 b 1 x 1 M D A y N 3 M s M j F 9 J n F 1 b 3 Q 7 L C Z x d W 9 0 O 1 N l Y 3 R p b 2 4 x L 0 t E T S 9 B d X R v U m V t b 3 Z l Z E N v b H V t b n M x L n t B Y W 5 0 Y W w g b 3 B n Z W d l d m V u I G 1 h a m 9 y Z X R 0 Z X M s M j J 9 J n F 1 b 3 Q 7 L C Z x d W 9 0 O 1 N l Y 3 R p b 2 4 x L 0 t E T S 9 B d X R v U m V t b 3 Z l Z E N v b H V t b n M x L n t P c G d l d m V u I G J p Z W x l b W F u b m V u L D I z f S Z x d W 9 0 O y w m c X V v d D t T Z W N 0 a W 9 u M S 9 L R E 0 v Q X V 0 b 1 J l b W 9 2 Z W R D b 2 x 1 b W 5 z M S 5 7 U 2 V u a W 9 y Z W 4 s M j R 9 J n F 1 b 3 Q 7 L C Z x d W 9 0 O 1 N l Y 3 R p b 2 4 x L 0 t E T S 9 B d X R v U m V t b 3 Z l Z E N v b H V t b n M x L n t K b 2 5 n I F Z v b H d h c 3 N l b m U s M j V 9 J n F 1 b 3 Q 7 L C Z x d W 9 0 O 1 N l Y 3 R p b 2 4 x L 0 t E T S 9 B d X R v U m V t b 3 Z l Z E N v b H V t b n M x L n t K d W 5 p b 3 J l b i w y N n 0 m c X V v d D s s J n F 1 b 3 Q 7 U 2 V j d G l v b j E v S 0 R N L 0 F 1 d G 9 S Z W 1 v d m V k Q 2 9 s d W 1 u c z E u e 0 F z c G l y Y W 5 0 Z W 4 s M j d 9 J n F 1 b 3 Q 7 L C Z x d W 9 0 O 1 N l Y 3 R p b 2 4 x L 0 t E T S 9 B d X R v U m V t b 3 Z l Z E N v b H V t b n M x L n t E Z W V s b m F t Z S B t Y X J r Z X R l b n R z d G V y c y w y O H 0 m c X V v d D s s J n F 1 b 3 Q 7 U 2 V j d G l v b j E v S 0 R N L 0 F 1 d G 9 S Z W 1 v d m V k Q 2 9 s d W 1 u c z E u e 0 F h b n R h b C B s d W N o d G d l d 2 V l c n N j a H V 0 d G V y c y w y O X 0 m c X V v d D s s J n F 1 b 3 Q 7 U 2 V j d G l v b j E v S 0 R N L 0 F 1 d G 9 S Z W 1 v d m V k Q 2 9 s d W 1 u c z E u e 0 F h b n R h b C B s d W N o d H B p c 3 R v b 2 x z Y 2 h 1 d H R l c n M s M z B 9 J n F 1 b 3 Q 7 L C Z x d W 9 0 O 1 N l Y 3 R p b 2 4 x L 0 t E T S 9 B d X R v U m V t b 3 Z l Z E N v b H V t b n M x L n t B Y W 5 0 Y W w g a G F u Z G J v b 2 d z Y 2 h 1 d H R l c n M s M z F 9 J n F 1 b 3 Q 7 L C Z x d W 9 0 O 1 N l Y 3 R p b 2 4 x L 0 t E T S 9 B d X R v U m V t b 3 Z l Z E N v b H V t b n M x L n t B Y W 5 0 Y W w g a 3 J 1 a X N i b 2 9 n c 2 N o d X R 0 Z X J z L D M y f S Z x d W 9 0 O y w m c X V v d D t T Z W N 0 a W 9 u M S 9 L R E 0 v Q X V 0 b 1 J l b W 9 2 Z W R D b 2 x 1 b W 5 z M S 5 7 K E F h b n R h b C B q Z X V n Z G t v c n B z Z W 4 s M z N 9 J n F 1 b 3 Q 7 L C Z x d W 9 0 O 1 N l Y 3 R p b 2 4 x L 0 t E T S 9 B d X R v U m V t b 3 Z l Z E N v b H V t b n M x L n t U b 3 R h Y W w g Y W F u d G F s I G R l Z W x u Z W 1 l c n M s M z R 9 J n F 1 b 3 Q 7 L C Z x d W 9 0 O 1 N l Y 3 R p b 2 4 x L 0 t E T S 9 B d X R v U m V t b 3 Z l Z E N v b H V t b n M x L n t X Y W F y d m F u I G F h b n R h b C B q Z X V n Z C A o d C 9 t I D E 1 I G p h Y X I p L D M 1 f S Z x d W 9 0 O y w m c X V v d D t T Z W N 0 a W 9 u M S 9 L R E 0 v Q X V 0 b 1 J l b W 9 2 Z W R D b 2 x 1 b W 5 z M S 5 7 S 2 F u b 2 4 g Z X R j L i w z N n 0 m c X V v d D s s J n F 1 b 3 Q 7 U 2 V j d G l v b j E v S 0 R N L 0 F 1 d G 9 S Z W 1 v d m V k Q 2 9 s d W 1 u c z E u e 1 B h Y X J k Z W 4 g Z W 4 v b 2 Y g a 2 9 l d H N l b i w z N 3 0 m c X V v d D s s J n F 1 b 3 Q 7 U 2 V j d G l v b j E v S 0 R N L 0 F 1 d G 9 S Z W 1 v d m V k Q 2 9 s d W 1 u c z E u e 1 R v Z W x p Y 2 h 0 a W 5 n L 2 9 w b W V y a 2 l u Z 2 V u L D M 4 f S Z x d W 9 0 O y w m c X V v d D t T Z W N 0 a W 9 u M S 9 L R E 0 v Q X V 0 b 1 J l b W 9 2 Z W R D b 2 x 1 b W 5 z M S 5 7 S W 5 6 Z W 5 k a W 5 n L U l E L D M 5 f S Z x d W 9 0 O y w m c X V v d D t T Z W N 0 a W 9 u M S 9 L R E 0 v Q X V 0 b 1 J l b W 9 2 Z W R D b 2 x 1 b W 5 z M S 5 7 S W 5 6 Z W 5 k Z G F 0 d W 0 s N D B 9 J n F 1 b 3 Q 7 L C Z x d W 9 0 O 1 N l Y 3 R p b 2 4 x L 0 t E T S 9 B d X R v U m V t b 3 Z l Z E N v b H V t b n M x L n t E Y X R l I F V w Z G F 0 Z W Q s N D F 9 J n F 1 b 3 Q 7 L C Z x d W 9 0 O 1 N l Y 3 R p b 2 4 x L 0 t E T S 9 B d X R v U m V t b 3 Z l Z E N v b H V t b n M x L n t O Y W F t I H Z h b i B o Z X Q g a G 9 v Z m R r b 3 J w c y w 0 M n 0 m c X V v d D s s J n F 1 b 3 Q 7 U 2 V j d G l v b j E v S 0 R N L 0 F 1 d G 9 S Z W 1 v d m V k Q 2 9 s d W 1 u c z E u e 1 p h b C B v c C B 0 c m V k Z W 4 g Y W x z I C h o b 2 9 m Z G t v c n B z K S w 0 M 3 0 m c X V v d D s s J n F 1 b 3 Q 7 U 2 V j d G l v b j E v S 0 R N L 0 F 1 d G 9 S Z W 1 v d m V k Q 2 9 s d W 1 u c z E u e 1 Z v c m 0 g d m F u I H R 3 Z W U g b X V 6 a W V r d 2 V y a 2 V u I C h o b 2 9 m Z G t v c n B z K S w 0 N H 0 m c X V v d D s s J n F 1 b 3 Q 7 U 2 V j d G l v b j E v S 0 R N L 0 F 1 d G 9 S Z W 1 v d m V k Q 2 9 s d W 1 u c z E u e 1 p h b C B 1 a X R r b 2 1 l b i B p b i B k Z T o g K G h v b 2 Z k a 2 9 y c H M p L D Q 1 f S Z x d W 9 0 O y w m c X V v d D t T Z W N 0 a W 9 u M S 9 L R E 0 v Q X V 0 b 1 J l b W 9 2 Z W R D b 2 x 1 b W 5 z M S 5 7 T X V 6 a W V r d 2 V y a z E g K G h v b 2 Z k a 2 9 y c H M p L D Q 2 f S Z x d W 9 0 O y w m c X V v d D t T Z W N 0 a W 9 u M S 9 L R E 0 v Q X V 0 b 1 J l b W 9 2 Z W R D b 2 x 1 b W 5 z M S 5 7 T X V 6 a W V r d 2 V y a z I g K G h v b 2 Z k a 2 9 y c H M p L D Q 3 f S Z x d W 9 0 O y w m c X V v d D t T Z W N 0 a W 9 u M S 9 L R E 0 v Q X V 0 b 1 J l b W 9 2 Z W R D b 2 x 1 b W 5 z M S 5 7 S 2 9 y c H M g Y m V z d G F h d C B 1 a X Q g L i 4 u I G R l Z W x u Z W 1 l c n M g K G h v b 2 Z k a 2 9 y c H M p L D Q 4 f S Z x d W 9 0 O y w m c X V v d D t T Z W N 0 a W 9 u M S 9 L R E 0 v Q X V 0 b 1 J l b W 9 2 Z W R D b 2 x 1 b W 5 z M S 5 7 V 2 9 y Z H Q g Z X I g Z 2 V i c n V p a y B n Z W 1 h Y W t 0 I H Z h b i B t Z W N o Y W 5 p c 2 N o Z S B t d X p p Z W s / L D Q 5 f S Z x d W 9 0 O y w m c X V v d D t T Z W N 0 a W 9 u M S 9 L R E 0 v Q X V 0 b 1 J l b W 9 2 Z W R D b 2 x 1 b W 5 z M S 5 7 T 2 5 k Z X J k Z W x l b i w 1 M H 0 m c X V v d D s s J n F 1 b 3 Q 7 U 2 V j d G l v b j E v S 0 R N L 0 F 1 d G 9 S Z W 1 v d m V k Q 2 9 s d W 1 u c z E u e 1 N l Y 3 R p Z X M s N T F 9 J n F 1 b 3 Q 7 L C Z x d W 9 0 O 1 N l Y 3 R p b 2 4 x L 0 t E T S 9 B d X R v U m V t b 3 Z l Z E N v b H V t b n M x L n t M Z W V m d G l q Z H N j Y X R l Z 2 9 y a W U s N T J 9 J n F 1 b 3 Q 7 X S w m c X V v d D t D b 2 x 1 b W 5 D b 3 V u d C Z x d W 9 0 O z o 1 M y w m c X V v d D t L Z X l D b 2 x 1 b W 5 O Y W 1 l c y Z x d W 9 0 O z p b X S w m c X V v d D t D b 2 x 1 b W 5 J Z G V u d G l 0 a W V z J n F 1 b 3 Q 7 O l s m c X V v d D t T Z W N 0 a W 9 u M S 9 L R E 0 v Q X V 0 b 1 J l b W 9 2 Z W R D b 2 x 1 b W 5 z M S 5 7 S 3 J p b m d k Y W c s M H 0 m c X V v d D s s J n F 1 b 3 Q 7 U 2 V j d G l v b j E v S 0 R N L 0 F 1 d G 9 S Z W 1 v d m V k Q 2 9 s d W 1 u c z E u e 1 Z l c i 5 u c i 4 s M X 0 m c X V v d D s s J n F 1 b 3 Q 7 U 2 V j d G l v b j E v S 0 R N L 0 F 1 d G 9 S Z W 1 v d m V k Q 2 9 s d W 1 u c z E u e 0 5 h Y W 0 g d m V y Z W 5 p Z 2 l u Z y w y f S Z x d W 9 0 O y w m c X V v d D t T Z W N 0 a W 9 u M S 9 L R E 0 v Q X V 0 b 1 J l b W 9 2 Z W R D b 2 x 1 b W 5 z M S 5 7 R G V s Z W d h d G l l L D N 9 J n F 1 b 3 Q 7 L C Z x d W 9 0 O 1 N l Y 3 R p b 2 4 x L 0 t E T S 9 B d X R v U m V t b 3 Z l Z E N v b H V t b n M x L n t N d X p p Z W t r b 3 J w c y B 0 a W p k Z W 5 z I G 1 h c n M g Z W 4 g Z G V m a W x c d T A w R T k s N H 0 m c X V v d D s s J n F 1 b 3 Q 7 U 2 V j d G l v b j E v S 0 R N L 0 F 1 d G 9 S Z W 1 v d m V k Q 2 9 s d W 1 u c z E u e 0 R l Z W x u Y W 1 l I G p l d W d k a 2 9 u a W 5 n c 2 N o a W V 0 Z W 4 s N X 0 m c X V v d D s s J n F 1 b 3 Q 7 U 2 V j d G l v b j E v S 0 R N L 0 F 1 d G 9 S Z W 1 v d m V k Q 2 9 s d W 1 u c z E u e 0 1 h a i 4 g U 2 V u a W 9 y Z W 4 g a n V y Z X J l b i B i a W o g b W F y c y w 2 f S Z x d W 9 0 O y w m c X V v d D t T Z W N 0 a W 9 u M S 9 L R E 0 v Q X V 0 b 1 J l b W 9 2 Z W R D b 2 x 1 b W 5 z M S 5 7 T W F q L i B K Z X V n Z C B q d X J l c m V u I G J p a i B t Y X J z L D d 9 J n F 1 b 3 Q 7 L C Z x d W 9 0 O 1 N l Y 3 R p b 2 4 x L 0 t E T S 9 B d X R v U m V t b 3 Z l Z E N v b H V t b n M x L n t L b 3 J w c y B z Z W 5 p b 3 J l b i w 4 f S Z x d W 9 0 O y w m c X V v d D t T Z W N 0 a W 9 u M S 9 L R E 0 v Q X V 0 b 1 J l b W 9 2 Z W R D b 2 x 1 b W 5 z M S 5 7 S n V u a W 9 y Z W 4 g a 2 9 y c H M g M S w 5 f S Z x d W 9 0 O y w m c X V v d D t T Z W N 0 a W 9 u M S 9 L R E 0 v Q X V 0 b 1 J l b W 9 2 Z W R D b 2 x 1 b W 5 z M S 5 7 S n V u a W 9 y Z W 4 g a 2 9 y c H M g M i w x M H 0 m c X V v d D s s J n F 1 b 3 Q 7 U 2 V j d G l v b j E v S 0 R N L 0 F 1 d G 9 S Z W 1 v d m V k Q 2 9 s d W 1 u c z E u e 0 F z c G l y Y W 5 0 Z W 4 g a 2 9 y c H M g M S w x M X 0 m c X V v d D s s J n F 1 b 3 Q 7 U 2 V j d G l v b j E v S 0 R N L 0 F 1 d G 9 S Z W 1 v d m V k Q 2 9 s d W 1 u c z E u e 0 F z c G l y Y W 5 0 Z W 4 g a 2 9 y c H M g M i w x M n 0 m c X V v d D s s J n F 1 b 3 Q 7 U 2 V j d G l v b j E v S 0 R N L 0 F 1 d G 9 S Z W 1 v d m V k Q 2 9 s d W 1 u c z E u e 0 F j c m 9 i Y X R p c 2 N o I H N l b m l v c m V u L D E z f S Z x d W 9 0 O y w m c X V v d D t T Z W N 0 a W 9 u M S 9 L R E 0 v Q X V 0 b 1 J l b W 9 2 Z W R D b 2 x 1 b W 5 z M S 5 7 Q W N y b 2 J h d G l z Y 2 g g a n V u a W 9 y Z W 4 s M T R 9 J n F 1 b 3 Q 7 L C Z x d W 9 0 O 1 N l Y 3 R p b 2 4 x L 0 t E T S 9 B d X R v U m V t b 3 Z l Z E N v b H V t b n M x L n t B Y 3 J v Y m F 0 a X N j a C B h c 3 B p c m F u d G V u L D E 1 f S Z x d W 9 0 O y w m c X V v d D t T Z W N 0 a W 9 u M S 9 L R E 0 v Q X V 0 b 1 J l b W 9 2 Z W R D b 2 x 1 b W 5 z M S 5 7 T 3 B n Z X Z l b i B 2 Z W 5 k Z W x p Z X J z I G l u Z C 4 s M T Z 9 J n F 1 b 3 Q 7 L C Z x d W 9 0 O 1 N l Y 3 R p b 2 4 x L 0 t E T S 9 B d X R v U m V t b 3 Z l Z E N v b H V t b n M x L n t B Y 3 J v Y i 4 g c 2 V u a W 9 y Z W 4 g a W 5 k a X Y u L D E 3 f S Z x d W 9 0 O y w m c X V v d D t T Z W N 0 a W 9 u M S 9 L R E 0 v Q X V 0 b 1 J l b W 9 2 Z W R D b 2 x 1 b W 5 z M S 5 7 Q W N y b 2 I u I G p 1 b m l v c m V u I G l u Z G l 2 L i w x O H 0 m c X V v d D s s J n F 1 b 3 Q 7 U 2 V j d G l v b j E v S 0 R N L 0 F 1 d G 9 S Z W 1 v d m V k Q 2 9 s d W 1 u c z E u e 0 F j c m 9 i L i B h c 3 B p c m F u d G V u I G l u Z G l 2 L i w x O X 0 m c X V v d D s s J n F 1 b 3 Q 7 U 2 V j d G l v b j E v S 0 R N L 0 F 1 d G 9 S Z W 1 v d m V k Q 2 9 s d W 1 u c z E u e 0 R l Z W x u Y W 1 l I G h v b 2 Z k a 2 9 y c H M s M j B 9 J n F 1 b 3 Q 7 L C Z x d W 9 0 O 1 N l Y 3 R p b 2 4 x L 0 t E T S 9 B d X R v U m V t b 3 Z l Z E N v b H V t b n M x L n t H c m 9 l c G V u L C B 0 Z W F t c y w g Z W 5 z Z W 1 i b G V z I G V u I G R 1 b 1 x 1 M D A y N 3 M s M j F 9 J n F 1 b 3 Q 7 L C Z x d W 9 0 O 1 N l Y 3 R p b 2 4 x L 0 t E T S 9 B d X R v U m V t b 3 Z l Z E N v b H V t b n M x L n t B Y W 5 0 Y W w g b 3 B n Z W d l d m V u I G 1 h a m 9 y Z X R 0 Z X M s M j J 9 J n F 1 b 3 Q 7 L C Z x d W 9 0 O 1 N l Y 3 R p b 2 4 x L 0 t E T S 9 B d X R v U m V t b 3 Z l Z E N v b H V t b n M x L n t P c G d l d m V u I G J p Z W x l b W F u b m V u L D I z f S Z x d W 9 0 O y w m c X V v d D t T Z W N 0 a W 9 u M S 9 L R E 0 v Q X V 0 b 1 J l b W 9 2 Z W R D b 2 x 1 b W 5 z M S 5 7 U 2 V u a W 9 y Z W 4 s M j R 9 J n F 1 b 3 Q 7 L C Z x d W 9 0 O 1 N l Y 3 R p b 2 4 x L 0 t E T S 9 B d X R v U m V t b 3 Z l Z E N v b H V t b n M x L n t K b 2 5 n I F Z v b H d h c 3 N l b m U s M j V 9 J n F 1 b 3 Q 7 L C Z x d W 9 0 O 1 N l Y 3 R p b 2 4 x L 0 t E T S 9 B d X R v U m V t b 3 Z l Z E N v b H V t b n M x L n t K d W 5 p b 3 J l b i w y N n 0 m c X V v d D s s J n F 1 b 3 Q 7 U 2 V j d G l v b j E v S 0 R N L 0 F 1 d G 9 S Z W 1 v d m V k Q 2 9 s d W 1 u c z E u e 0 F z c G l y Y W 5 0 Z W 4 s M j d 9 J n F 1 b 3 Q 7 L C Z x d W 9 0 O 1 N l Y 3 R p b 2 4 x L 0 t E T S 9 B d X R v U m V t b 3 Z l Z E N v b H V t b n M x L n t E Z W V s b m F t Z S B t Y X J r Z X R l b n R z d G V y c y w y O H 0 m c X V v d D s s J n F 1 b 3 Q 7 U 2 V j d G l v b j E v S 0 R N L 0 F 1 d G 9 S Z W 1 v d m V k Q 2 9 s d W 1 u c z E u e 0 F h b n R h b C B s d W N o d G d l d 2 V l c n N j a H V 0 d G V y c y w y O X 0 m c X V v d D s s J n F 1 b 3 Q 7 U 2 V j d G l v b j E v S 0 R N L 0 F 1 d G 9 S Z W 1 v d m V k Q 2 9 s d W 1 u c z E u e 0 F h b n R h b C B s d W N o d H B p c 3 R v b 2 x z Y 2 h 1 d H R l c n M s M z B 9 J n F 1 b 3 Q 7 L C Z x d W 9 0 O 1 N l Y 3 R p b 2 4 x L 0 t E T S 9 B d X R v U m V t b 3 Z l Z E N v b H V t b n M x L n t B Y W 5 0 Y W w g a G F u Z G J v b 2 d z Y 2 h 1 d H R l c n M s M z F 9 J n F 1 b 3 Q 7 L C Z x d W 9 0 O 1 N l Y 3 R p b 2 4 x L 0 t E T S 9 B d X R v U m V t b 3 Z l Z E N v b H V t b n M x L n t B Y W 5 0 Y W w g a 3 J 1 a X N i b 2 9 n c 2 N o d X R 0 Z X J z L D M y f S Z x d W 9 0 O y w m c X V v d D t T Z W N 0 a W 9 u M S 9 L R E 0 v Q X V 0 b 1 J l b W 9 2 Z W R D b 2 x 1 b W 5 z M S 5 7 K E F h b n R h b C B q Z X V n Z G t v c n B z Z W 4 s M z N 9 J n F 1 b 3 Q 7 L C Z x d W 9 0 O 1 N l Y 3 R p b 2 4 x L 0 t E T S 9 B d X R v U m V t b 3 Z l Z E N v b H V t b n M x L n t U b 3 R h Y W w g Y W F u d G F s I G R l Z W x u Z W 1 l c n M s M z R 9 J n F 1 b 3 Q 7 L C Z x d W 9 0 O 1 N l Y 3 R p b 2 4 x L 0 t E T S 9 B d X R v U m V t b 3 Z l Z E N v b H V t b n M x L n t X Y W F y d m F u I G F h b n R h b C B q Z X V n Z C A o d C 9 t I D E 1 I G p h Y X I p L D M 1 f S Z x d W 9 0 O y w m c X V v d D t T Z W N 0 a W 9 u M S 9 L R E 0 v Q X V 0 b 1 J l b W 9 2 Z W R D b 2 x 1 b W 5 z M S 5 7 S 2 F u b 2 4 g Z X R j L i w z N n 0 m c X V v d D s s J n F 1 b 3 Q 7 U 2 V j d G l v b j E v S 0 R N L 0 F 1 d G 9 S Z W 1 v d m V k Q 2 9 s d W 1 u c z E u e 1 B h Y X J k Z W 4 g Z W 4 v b 2 Y g a 2 9 l d H N l b i w z N 3 0 m c X V v d D s s J n F 1 b 3 Q 7 U 2 V j d G l v b j E v S 0 R N L 0 F 1 d G 9 S Z W 1 v d m V k Q 2 9 s d W 1 u c z E u e 1 R v Z W x p Y 2 h 0 a W 5 n L 2 9 w b W V y a 2 l u Z 2 V u L D M 4 f S Z x d W 9 0 O y w m c X V v d D t T Z W N 0 a W 9 u M S 9 L R E 0 v Q X V 0 b 1 J l b W 9 2 Z W R D b 2 x 1 b W 5 z M S 5 7 S W 5 6 Z W 5 k a W 5 n L U l E L D M 5 f S Z x d W 9 0 O y w m c X V v d D t T Z W N 0 a W 9 u M S 9 L R E 0 v Q X V 0 b 1 J l b W 9 2 Z W R D b 2 x 1 b W 5 z M S 5 7 S W 5 6 Z W 5 k Z G F 0 d W 0 s N D B 9 J n F 1 b 3 Q 7 L C Z x d W 9 0 O 1 N l Y 3 R p b 2 4 x L 0 t E T S 9 B d X R v U m V t b 3 Z l Z E N v b H V t b n M x L n t E Y X R l I F V w Z G F 0 Z W Q s N D F 9 J n F 1 b 3 Q 7 L C Z x d W 9 0 O 1 N l Y 3 R p b 2 4 x L 0 t E T S 9 B d X R v U m V t b 3 Z l Z E N v b H V t b n M x L n t O Y W F t I H Z h b i B o Z X Q g a G 9 v Z m R r b 3 J w c y w 0 M n 0 m c X V v d D s s J n F 1 b 3 Q 7 U 2 V j d G l v b j E v S 0 R N L 0 F 1 d G 9 S Z W 1 v d m V k Q 2 9 s d W 1 u c z E u e 1 p h b C B v c C B 0 c m V k Z W 4 g Y W x z I C h o b 2 9 m Z G t v c n B z K S w 0 M 3 0 m c X V v d D s s J n F 1 b 3 Q 7 U 2 V j d G l v b j E v S 0 R N L 0 F 1 d G 9 S Z W 1 v d m V k Q 2 9 s d W 1 u c z E u e 1 Z v c m 0 g d m F u I H R 3 Z W U g b X V 6 a W V r d 2 V y a 2 V u I C h o b 2 9 m Z G t v c n B z K S w 0 N H 0 m c X V v d D s s J n F 1 b 3 Q 7 U 2 V j d G l v b j E v S 0 R N L 0 F 1 d G 9 S Z W 1 v d m V k Q 2 9 s d W 1 u c z E u e 1 p h b C B 1 a X R r b 2 1 l b i B p b i B k Z T o g K G h v b 2 Z k a 2 9 y c H M p L D Q 1 f S Z x d W 9 0 O y w m c X V v d D t T Z W N 0 a W 9 u M S 9 L R E 0 v Q X V 0 b 1 J l b W 9 2 Z W R D b 2 x 1 b W 5 z M S 5 7 T X V 6 a W V r d 2 V y a z E g K G h v b 2 Z k a 2 9 y c H M p L D Q 2 f S Z x d W 9 0 O y w m c X V v d D t T Z W N 0 a W 9 u M S 9 L R E 0 v Q X V 0 b 1 J l b W 9 2 Z W R D b 2 x 1 b W 5 z M S 5 7 T X V 6 a W V r d 2 V y a z I g K G h v b 2 Z k a 2 9 y c H M p L D Q 3 f S Z x d W 9 0 O y w m c X V v d D t T Z W N 0 a W 9 u M S 9 L R E 0 v Q X V 0 b 1 J l b W 9 2 Z W R D b 2 x 1 b W 5 z M S 5 7 S 2 9 y c H M g Y m V z d G F h d C B 1 a X Q g L i 4 u I G R l Z W x u Z W 1 l c n M g K G h v b 2 Z k a 2 9 y c H M p L D Q 4 f S Z x d W 9 0 O y w m c X V v d D t T Z W N 0 a W 9 u M S 9 L R E 0 v Q X V 0 b 1 J l b W 9 2 Z W R D b 2 x 1 b W 5 z M S 5 7 V 2 9 y Z H Q g Z X I g Z 2 V i c n V p a y B n Z W 1 h Y W t 0 I H Z h b i B t Z W N o Y W 5 p c 2 N o Z S B t d X p p Z W s / L D Q 5 f S Z x d W 9 0 O y w m c X V v d D t T Z W N 0 a W 9 u M S 9 L R E 0 v Q X V 0 b 1 J l b W 9 2 Z W R D b 2 x 1 b W 5 z M S 5 7 T 2 5 k Z X J k Z W x l b i w 1 M H 0 m c X V v d D s s J n F 1 b 3 Q 7 U 2 V j d G l v b j E v S 0 R N L 0 F 1 d G 9 S Z W 1 v d m V k Q 2 9 s d W 1 u c z E u e 1 N l Y 3 R p Z X M s N T F 9 J n F 1 b 3 Q 7 L C Z x d W 9 0 O 1 N l Y 3 R p b 2 4 x L 0 t E T S 9 B d X R v U m V t b 3 Z l Z E N v b H V t b n M x L n t M Z W V m d G l q Z H N j Y X R l Z 2 9 y a W U s N T J 9 J n F 1 b 3 Q 7 X S w m c X V v d D t S Z W x h d G l v b n N o a X B J b m Z v J n F 1 b 3 Q 7 O l t d f S I g L z 4 8 L 1 N 0 Y W J s Z U V u d H J p Z X M + P C 9 J d G V t P j x J d G V t P j x J d G V t T G 9 j Y X R p b 2 4 + P E l 0 Z W 1 U e X B l P k Z v c m 1 1 b G E 8 L 0 l 0 Z W 1 U e X B l P j x J d G V t U G F 0 a D 5 T Z W N 0 a W 9 u M S 9 L R E 0 v Q n J v b j w v S X R l b V B h d G g + P C 9 J d G V t T G 9 j Y X R p b 2 4 + P F N 0 Y W J s Z U V u d H J p Z X M g L z 4 8 L 0 l 0 Z W 0 + P E l 0 Z W 0 + P E l 0 Z W 1 M b 2 N h d G l v b j 4 8 S X R l b V R 5 c G U + R m 9 y b X V s Y T w v S X R l b V R 5 c G U + P E l 0 Z W 1 Q Y X R o P l N l Y 3 R p b 2 4 x L 0 t E T S 9 I Z W F k Z X J z J T I w b W V 0 J T I w d m V y a G 9 v Z 2 Q l M j B u a X Z l Y X U 8 L 0 l 0 Z W 1 Q Y X R o P j w v S X R l b U x v Y 2 F 0 a W 9 u P j x T d G F i b G V F b n R y a W V z I C 8 + P C 9 J d G V t P j x J d G V t P j x J d G V t T G 9 j Y X R p b 2 4 + P E l 0 Z W 1 U e X B l P k Z v c m 1 1 b G E 8 L 0 l 0 Z W 1 U e X B l P j x J d G V t U G F 0 a D 5 T Z W N 0 a W 9 u M S 9 L R E 0 v S G V 0 J T I w a 2 9 s b 2 1 0 e X B l J T I w a X M l M j B n Z X d p a n p p Z 2 Q 8 L 0 l 0 Z W 1 Q Y X R o P j w v S X R l b U x v Y 2 F 0 a W 9 u P j x T d G F i b G V F b n R y a W V z I C 8 + P C 9 J d G V t P j x J d G V t P j x J d G V t T G 9 j Y X R p b 2 4 + P E l 0 Z W 1 U e X B l P k Z v c m 1 1 b G E 8 L 0 l 0 Z W 1 U e X B l P j x J d G V t U G F 0 a D 5 T Z W N 0 a W 9 u M S 9 L R E 0 v Q W F u Z 2 V w Y X N 0 J T I w a X R l b S U y M H R v Z W d l d m 9 l Z 2 Q 8 L 0 l 0 Z W 1 Q Y X R o P j w v S X R l b U x v Y 2 F 0 a W 9 u P j x T d G F i b G V F b n R y a W V z I C 8 + P C 9 J d G V t P j x J d G V t P j x J d G V t T G 9 j Y X R p b 2 4 + P E l 0 Z W 1 U e X B l P k Z v c m 1 1 b G E 8 L 0 l 0 Z W 1 U e X B l P j x J d G V t U G F 0 a D 5 T Z W N 0 a W 9 u M S 9 L R E 0 v V m 9 v c n d h Y X J k Z W x p a m t l J T I w a 2 9 s b 2 0 l M j B p b m d l d m 9 l Z 2 Q 8 L 0 l 0 Z W 1 Q Y X R o P j w v S X R l b U x v Y 2 F 0 a W 9 u P j x T d G F i b G V F b n R y a W V z I C 8 + P C 9 J d G V t P j x J d G V t P j x J d G V t T G 9 j Y X R p b 2 4 + P E l 0 Z W 1 U e X B l P k Z v c m 1 1 b G E 8 L 0 l 0 Z W 1 U e X B l P j x J d G V t U G F 0 a D 5 T Z W N 0 a W 9 u M S 9 L R E 0 v Q W F u Z 2 V w Y X N 0 J T I w a X R l b S U y M H R v Z W d l d m 9 l Z 2 Q x P C 9 J d G V t U G F 0 a D 4 8 L 0 l 0 Z W 1 M b 2 N h d G l v b j 4 8 U 3 R h Y m x l R W 5 0 c m l l c y A v P j w v S X R l b T 4 8 S X R l b T 4 8 S X R l b U x v Y 2 F 0 a W 9 u P j x J d G V t V H l w Z T 5 G b 3 J t d W x h P C 9 J d G V t V H l w Z T 4 8 S X R l b V B h d G g + U 2 V j d G l v b j E v S 0 R N L 1 Z v b 3 J 3 Y W F y Z G V s a W p r Z S U y M G t v b G 9 t J T I w a W 5 n Z X Z v Z W d k M T w v S X R l b V B h d G g + P C 9 J d G V t T G 9 j Y X R p b 2 4 + P F N 0 Y W J s Z U V u d H J p Z X M g L z 4 8 L 0 l 0 Z W 0 + P E l 0 Z W 0 + P E l 0 Z W 1 M b 2 N h d G l v b j 4 8 S X R l b V R 5 c G U + R m 9 y b X V s Y T w v S X R l b V R 5 c G U + P E l 0 Z W 1 Q Y X R o P l N l Y 3 R p b 2 4 x L 0 t E T S 9 B Y W 5 n Z X B h c 3 Q l M j B p d G V t J T I w d G 9 l Z 2 V 2 b 2 V n Z D I 8 L 0 l 0 Z W 1 Q Y X R o P j w v S X R l b U x v Y 2 F 0 a W 9 u P j x T d G F i b G V F b n R y a W V z I C 8 + P C 9 J d G V t P j x J d G V t P j x J d G V t T G 9 j Y X R p b 2 4 + P E l 0 Z W 1 U e X B l P k Z v c m 1 1 b G E 8 L 0 l 0 Z W 1 U e X B l P j x J d G V t U G F 0 a D 5 T Z W N 0 a W 9 u M S 9 L R E 0 v V m 9 v c n d h Y X J k Z W x p a m t l J T I w a 2 9 s b 2 0 l M j B p b m d l d m 9 l Z 2 Q y P C 9 J d G V t U G F 0 a D 4 8 L 0 l 0 Z W 1 M b 2 N h d G l v b j 4 8 U 3 R h Y m x l R W 5 0 c m l l c y A v P j w v S X R l b T 4 8 S X R l b T 4 8 S X R l b U x v Y 2 F 0 a W 9 u P j x J d G V t V H l w Z T 5 G b 3 J t d W x h P C 9 J d G V t V H l w Z T 4 8 S X R l b V B h d G g + U 2 V j d G l v b j E v S 0 R N L 0 F h b m d l c G F z d C U y M G l 0 Z W 0 l M j B 0 b 2 V n Z X Z v Z W d k M z w v S X R l b V B h d G g + P C 9 J d G V t T G 9 j Y X R p b 2 4 + P F N 0 Y W J s Z U V u d H J p Z X M g L z 4 8 L 0 l 0 Z W 0 + P E l 0 Z W 0 + P E l 0 Z W 1 M b 2 N h d G l v b j 4 8 S X R l b V R 5 c G U + R m 9 y b X V s Y T w v S X R l b V R 5 c G U + P E l 0 Z W 1 Q Y X R o P l N l Y 3 R p b 2 4 x L 0 t E T S 9 W b 2 9 y d 2 F h c m R l b G l q a 2 U l M j B r b 2 x v b S U y M G l u Z 2 V 2 b 2 V n Z D M 8 L 0 l 0 Z W 1 Q Y X R o P j w v S X R l b U x v Y 2 F 0 a W 9 u P j x T d G F i b G V F b n R y a W V z I C 8 + P C 9 J d G V t P j x J d G V t P j x J d G V t T G 9 j Y X R p b 2 4 + P E l 0 Z W 1 U e X B l P k Z v c m 1 1 b G E 8 L 0 l 0 Z W 1 U e X B l P j x J d G V t U G F 0 a D 5 T Z W N 0 a W 9 u M S 9 L R E 0 v Q W F u Z 2 V w Y X N 0 J T I w a X R l b S U y M H R v Z W d l d m 9 l Z 2 Q 0 P C 9 J d G V t U G F 0 a D 4 8 L 0 l 0 Z W 1 M b 2 N h d G l v b j 4 8 U 3 R h Y m x l R W 5 0 c m l l c y A v P j w v S X R l b T 4 8 S X R l b T 4 8 S X R l b U x v Y 2 F 0 a W 9 u P j x J d G V t V H l w Z T 5 G b 3 J t d W x h P C 9 J d G V t V H l w Z T 4 8 S X R l b V B h d G g + U 2 V j d G l v b j E v S 0 R N L 1 Z v b 3 J 3 Y W F y Z G V s a W p r Z S U y M G t v b G 9 t J T I w a W 5 n Z X Z v Z W d k N D w v S X R l b V B h d G g + P C 9 J d G V t T G 9 j Y X R p b 2 4 + P F N 0 Y W J s Z U V u d H J p Z X M g L z 4 8 L 0 l 0 Z W 0 + P E l 0 Z W 0 + P E l 0 Z W 1 M b 2 N h d G l v b j 4 8 S X R l b V R 5 c G U + R m 9 y b X V s Y T w v S X R l b V R 5 c G U + P E l 0 Z W 1 Q Y X R o P l N l Y 3 R p b 2 4 x L 0 t E T S 9 B Y W 5 n Z X B h c 3 Q l M j B p d G V t J T I w d G 9 l Z 2 V 2 b 2 V n Z D U 8 L 0 l 0 Z W 1 Q Y X R o P j w v S X R l b U x v Y 2 F 0 a W 9 u P j x T d G F i b G V F b n R y a W V z I C 8 + P C 9 J d G V t P j x J d G V t P j x J d G V t T G 9 j Y X R p b 2 4 + P E l 0 Z W 1 U e X B l P k Z v c m 1 1 b G E 8 L 0 l 0 Z W 1 U e X B l P j x J d G V t U G F 0 a D 5 T Z W N 0 a W 9 u M S 9 L R E 0 v V m 9 v c n d h Y X J k Z W x p a m t l J T I w a 2 9 s b 2 0 l M j B p b m d l d m 9 l Z 2 Q 1 P C 9 J d G V t U G F 0 a D 4 8 L 0 l 0 Z W 1 M b 2 N h d G l v b j 4 8 U 3 R h Y m x l R W 5 0 c m l l c y A v P j w v S X R l b T 4 8 S X R l b T 4 8 S X R l b U x v Y 2 F 0 a W 9 u P j x J d G V t V H l w Z T 5 G b 3 J t d W x h P C 9 J d G V t V H l w Z T 4 8 S X R l b V B h d G g + U 2 V j d G l v b j E v S 0 R N L 0 F h b m d l c G F z d C U y M G l 0 Z W 0 l M j B 0 b 2 V n Z X Z v Z W d k N j w v S X R l b V B h d G g + P C 9 J d G V t T G 9 j Y X R p b 2 4 + P F N 0 Y W J s Z U V u d H J p Z X M g L z 4 8 L 0 l 0 Z W 0 + P E l 0 Z W 0 + P E l 0 Z W 1 M b 2 N h d G l v b j 4 8 S X R l b V R 5 c G U + R m 9 y b X V s Y T w v S X R l b V R 5 c G U + P E l 0 Z W 1 Q Y X R o P l N l Y 3 R p b 2 4 x L 0 t E T S 9 W b 2 9 y d 2 F h c m R l b G l q a 2 U l M j B r b 2 x v b S U y M G l u Z 2 V 2 b 2 V n Z D Y 8 L 0 l 0 Z W 1 Q Y X R o P j w v S X R l b U x v Y 2 F 0 a W 9 u P j x T d G F i b G V F b n R y a W V z I C 8 + P C 9 J d G V t P j x J d G V t P j x J d G V t T G 9 j Y X R p b 2 4 + P E l 0 Z W 1 U e X B l P k Z v c m 1 1 b G E 8 L 0 l 0 Z W 1 U e X B l P j x J d G V t U G F 0 a D 5 T Z W N 0 a W 9 u M S 9 L R E 0 v Q W F u Z 2 V w Y X N 0 J T I w a X R l b S U y M H R v Z W d l d m 9 l Z 2 Q 3 P C 9 J d G V t U G F 0 a D 4 8 L 0 l 0 Z W 1 M b 2 N h d G l v b j 4 8 U 3 R h Y m x l R W 5 0 c m l l c y A v P j w v S X R l b T 4 8 S X R l b T 4 8 S X R l b U x v Y 2 F 0 a W 9 u P j x J d G V t V H l w Z T 5 G b 3 J t d W x h P C 9 J d G V t V H l w Z T 4 8 S X R l b V B h d G g + U 2 V j d G l v b j E v S 0 R N L 1 Z v b 3 J 3 Y W F y Z G V s a W p r Z S U y M G t v b G 9 t J T I w a W 5 n Z X Z v Z W d k N z w v S X R l b V B h d G g + P C 9 J d G V t T G 9 j Y X R p b 2 4 + P F N 0 Y W J s Z U V u d H J p Z X M g L z 4 8 L 0 l 0 Z W 0 + P E l 0 Z W 0 + P E l 0 Z W 1 M b 2 N h d G l v b j 4 8 S X R l b V R 5 c G U + R m 9 y b X V s Y T w v S X R l b V R 5 c G U + P E l 0 Z W 1 Q Y X R o P l N l Y 3 R p b 2 4 x L 0 t E T S 9 B Y W 5 n Z X B h c 3 Q l M j B p d G V t J T I w d G 9 l Z 2 V 2 b 2 V n Z D g 8 L 0 l 0 Z W 1 Q Y X R o P j w v S X R l b U x v Y 2 F 0 a W 9 u P j x T d G F i b G V F b n R y a W V z I C 8 + P C 9 J d G V t P j x J d G V t P j x J d G V t T G 9 j Y X R p b 2 4 + P E l 0 Z W 1 U e X B l P k Z v c m 1 1 b G E 8 L 0 l 0 Z W 1 U e X B l P j x J d G V t U G F 0 a D 5 T Z W N 0 a W 9 u M S 9 L R E 0 v V m 9 v c n d h Y X J k Z W x p a m t l J T I w a 2 9 s b 2 0 l M j B p b m d l d m 9 l Z 2 Q 4 P C 9 J d G V t U G F 0 a D 4 8 L 0 l 0 Z W 1 M b 2 N h d G l v b j 4 8 U 3 R h Y m x l R W 5 0 c m l l c y A v P j w v S X R l b T 4 8 S X R l b T 4 8 S X R l b U x v Y 2 F 0 a W 9 u P j x J d G V t V H l w Z T 5 G b 3 J t d W x h P C 9 J d G V t V H l w Z T 4 8 S X R l b V B h d G g + U 2 V j d G l v b j E v S 0 R N L 0 F h b m d l c G F z d C U y M G l 0 Z W 0 l M j B 0 b 2 V n Z X Z v Z W d k O T w v S X R l b V B h d G g + P C 9 J d G V t T G 9 j Y X R p b 2 4 + P F N 0 Y W J s Z U V u d H J p Z X M g L z 4 8 L 0 l 0 Z W 0 + P E l 0 Z W 0 + P E l 0 Z W 1 M b 2 N h d G l v b j 4 8 S X R l b V R 5 c G U + R m 9 y b X V s Y T w v S X R l b V R 5 c G U + P E l 0 Z W 1 Q Y X R o P l N l Y 3 R p b 2 4 x L 0 t E T S 9 W b 2 9 y d 2 F h c m R l b G l q a 2 U l M j B r b 2 x v b S U y M G l u Z 2 V 2 b 2 V n Z D k 8 L 0 l 0 Z W 1 Q Y X R o P j w v S X R l b U x v Y 2 F 0 a W 9 u P j x T d G F i b G V F b n R y a W V z I C 8 + P C 9 J d G V t P j x J d G V t P j x J d G V t T G 9 j Y X R p b 2 4 + P E l 0 Z W 1 U e X B l P k Z v c m 1 1 b G E 8 L 0 l 0 Z W 1 U e X B l P j x J d G V t U G F 0 a D 5 T Z W N 0 a W 9 u M S 9 L R E 0 v Q W F u Z 2 V w Y X N 0 J T I w a X R l b S U y M H R v Z W d l d m 9 l Z 2 Q x M D w v S X R l b V B h d G g + P C 9 J d G V t T G 9 j Y X R p b 2 4 + P F N 0 Y W J s Z U V u d H J p Z X M g L z 4 8 L 0 l 0 Z W 0 + P E l 0 Z W 0 + P E l 0 Z W 1 M b 2 N h d G l v b j 4 8 S X R l b V R 5 c G U + R m 9 y b X V s Y T w v S X R l b V R 5 c G U + P E l 0 Z W 1 Q Y X R o P l N l Y 3 R p b 2 4 x L 0 t E T S 9 W b 2 9 y d 2 F h c m R l b G l q a 2 U l M j B r b 2 x v b S U y M G l u Z 2 V 2 b 2 V n Z D E w P C 9 J d G V t U G F 0 a D 4 8 L 0 l 0 Z W 1 M b 2 N h d G l v b j 4 8 U 3 R h Y m x l R W 5 0 c m l l c y A v P j w v S X R l b T 4 8 S X R l b T 4 8 S X R l b U x v Y 2 F 0 a W 9 u P j x J d G V t V H l w Z T 5 G b 3 J t d W x h P C 9 J d G V t V H l w Z T 4 8 S X R l b V B h d G g + U 2 V j d G l v b j E v S 0 R N L 0 F h b m d l c G F z d C U y M G l 0 Z W 0 l M j B 0 b 2 V n Z X Z v Z W d k M T E 8 L 0 l 0 Z W 1 Q Y X R o P j w v S X R l b U x v Y 2 F 0 a W 9 u P j x T d G F i b G V F b n R y a W V z I C 8 + P C 9 J d G V t P j x J d G V t P j x J d G V t T G 9 j Y X R p b 2 4 + P E l 0 Z W 1 U e X B l P k Z v c m 1 1 b G E 8 L 0 l 0 Z W 1 U e X B l P j x J d G V t U G F 0 a D 5 T Z W N 0 a W 9 u M S 9 L R E 0 v V m 9 v c n d h Y X J k Z W x p a m t l J T I w a 2 9 s b 2 0 l M j B p b m d l d m 9 l Z 2 Q x M T w v S X R l b V B h d G g + P C 9 J d G V t T G 9 j Y X R p b 2 4 + P F N 0 Y W J s Z U V u d H J p Z X M g L z 4 8 L 0 l 0 Z W 0 + P E l 0 Z W 0 + P E l 0 Z W 1 M b 2 N h d G l v b j 4 8 S X R l b V R 5 c G U + R m 9 y b X V s Y T w v S X R l b V R 5 c G U + P E l 0 Z W 1 Q Y X R o P l N l Y 3 R p b 2 4 x L 0 t E T S 9 B Y W 5 n Z X B h c 3 Q l M j B p d G V t J T I w d G 9 l Z 2 V 2 b 2 V n Z D E y P C 9 J d G V t U G F 0 a D 4 8 L 0 l 0 Z W 1 M b 2 N h d G l v b j 4 8 U 3 R h Y m x l R W 5 0 c m l l c y A v P j w v S X R l b T 4 8 S X R l b T 4 8 S X R l b U x v Y 2 F 0 a W 9 u P j x J d G V t V H l w Z T 5 G b 3 J t d W x h P C 9 J d G V t V H l w Z T 4 8 S X R l b V B h d G g + U 2 V j d G l v b j E v S 0 R N L 1 Z v b 3 J 3 Y W F y Z G V s a W p r Z S U y M G t v b G 9 t J T I w a W 5 n Z X Z v Z W d k M T I 8 L 0 l 0 Z W 1 Q Y X R o P j w v S X R l b U x v Y 2 F 0 a W 9 u P j x T d G F i b G V F b n R y a W V z I C 8 + P C 9 J d G V t P j x J d G V t P j x J d G V t T G 9 j Y X R p b 2 4 + P E l 0 Z W 1 U e X B l P k Z v c m 1 1 b G E 8 L 0 l 0 Z W 1 U e X B l P j x J d G V t U G F 0 a D 5 T Z W N 0 a W 9 u M S 9 L R E 0 v Q W F u Z 2 V w Y X N 0 J T I w a X R l b S U y M H R v Z W d l d m 9 l Z 2 Q x M z w v S X R l b V B h d G g + P C 9 J d G V t T G 9 j Y X R p b 2 4 + P F N 0 Y W J s Z U V u d H J p Z X M g L z 4 8 L 0 l 0 Z W 0 + P E l 0 Z W 0 + P E l 0 Z W 1 M b 2 N h d G l v b j 4 8 S X R l b V R 5 c G U + R m 9 y b X V s Y T w v S X R l b V R 5 c G U + P E l 0 Z W 1 Q Y X R o P l N l Y 3 R p b 2 4 x L 0 t E T S 9 W b 2 9 y d 2 F h c m R l b G l q a 2 U l M j B r b 2 x v b S U y M G l u Z 2 V 2 b 2 V n Z D E z P C 9 J d G V t U G F 0 a D 4 8 L 0 l 0 Z W 1 M b 2 N h d G l v b j 4 8 U 3 R h Y m x l R W 5 0 c m l l c y A v P j w v S X R l b T 4 8 S X R l b T 4 8 S X R l b U x v Y 2 F 0 a W 9 u P j x J d G V t V H l w Z T 5 G b 3 J t d W x h P C 9 J d G V t V H l w Z T 4 8 S X R l b V B h d G g + U 2 V j d G l v b j E v S 0 R N L 0 F h b m d l c G F z d C U y M G l 0 Z W 0 l M j B 0 b 2 V n Z X Z v Z W d k M T Q 8 L 0 l 0 Z W 1 Q Y X R o P j w v S X R l b U x v Y 2 F 0 a W 9 u P j x T d G F i b G V F b n R y a W V z I C 8 + P C 9 J d G V t P j x J d G V t P j x J d G V t T G 9 j Y X R p b 2 4 + P E l 0 Z W 1 U e X B l P k Z v c m 1 1 b G E 8 L 0 l 0 Z W 1 U e X B l P j x J d G V t U G F 0 a D 5 T Z W N 0 a W 9 u M S 9 L R E 0 v V m 9 v c n d h Y X J k Z W x p a m t l J T I w a 2 9 s b 2 0 l M j B p b m d l d m 9 l Z 2 Q x N D w v S X R l b V B h d G g + P C 9 J d G V t T G 9 j Y X R p b 2 4 + P F N 0 Y W J s Z U V u d H J p Z X M g L z 4 8 L 0 l 0 Z W 0 + P E l 0 Z W 0 + P E l 0 Z W 1 M b 2 N h d G l v b j 4 8 S X R l b V R 5 c G U + R m 9 y b X V s Y T w v S X R l b V R 5 c G U + P E l 0 Z W 1 Q Y X R o P l N l Y 3 R p b 2 4 x L 0 t E T S 9 B Y W 5 n Z X B h c 3 Q l M j B p d G V t J T I w d G 9 l Z 2 V 2 b 2 V n Z D E 1 P C 9 J d G V t U G F 0 a D 4 8 L 0 l 0 Z W 1 M b 2 N h d G l v b j 4 8 U 3 R h Y m x l R W 5 0 c m l l c y A v P j w v S X R l b T 4 8 S X R l b T 4 8 S X R l b U x v Y 2 F 0 a W 9 u P j x J d G V t V H l w Z T 5 G b 3 J t d W x h P C 9 J d G V t V H l w Z T 4 8 S X R l b V B h d G g + U 2 V j d G l v b j E v S 0 R N L 1 Z v b 3 J 3 Y W F y Z G V s a W p r Z S U y M G t v b G 9 t J T I w a W 5 n Z X Z v Z W d k M T U 8 L 0 l 0 Z W 1 Q Y X R o P j w v S X R l b U x v Y 2 F 0 a W 9 u P j x T d G F i b G V F b n R y a W V z I C 8 + P C 9 J d G V t P j x J d G V t P j x J d G V t T G 9 j Y X R p b 2 4 + P E l 0 Z W 1 U e X B l P k Z v c m 1 1 b G E 8 L 0 l 0 Z W 1 U e X B l P j x J d G V t U G F 0 a D 5 T Z W N 0 a W 9 u M S 9 L R E 0 v Q W F u Z 2 V w Y X N 0 J T I w a X R l b S U y M H R v Z W d l d m 9 l Z 2 Q x N j w v S X R l b V B h d G g + P C 9 J d G V t T G 9 j Y X R p b 2 4 + P F N 0 Y W J s Z U V u d H J p Z X M g L z 4 8 L 0 l 0 Z W 0 + P E l 0 Z W 0 + P E l 0 Z W 1 M b 2 N h d G l v b j 4 8 S X R l b V R 5 c G U + R m 9 y b X V s Y T w v S X R l b V R 5 c G U + P E l 0 Z W 1 Q Y X R o P l N l Y 3 R p b 2 4 x L 0 t E T S 9 W b 2 9 y d 2 F h c m R l b G l q a 2 U l M j B r b 2 x v b S U y M G l u Z 2 V 2 b 2 V n Z D E 2 P C 9 J d G V t U G F 0 a D 4 8 L 0 l 0 Z W 1 M b 2 N h d G l v b j 4 8 U 3 R h Y m x l R W 5 0 c m l l c y A v P j w v S X R l b T 4 8 S X R l b T 4 8 S X R l b U x v Y 2 F 0 a W 9 u P j x J d G V t V H l w Z T 5 G b 3 J t d W x h P C 9 J d G V t V H l w Z T 4 8 S X R l b V B h d G g + U 2 V j d G l v b j E v S 0 R N L 0 F h b m d l c G F z d C U y M G l 0 Z W 0 l M j B 0 b 2 V n Z X Z v Z W d k M T c 8 L 0 l 0 Z W 1 Q Y X R o P j w v S X R l b U x v Y 2 F 0 a W 9 u P j x T d G F i b G V F b n R y a W V z I C 8 + P C 9 J d G V t P j x J d G V t P j x J d G V t T G 9 j Y X R p b 2 4 + P E l 0 Z W 1 U e X B l P k Z v c m 1 1 b G E 8 L 0 l 0 Z W 1 U e X B l P j x J d G V t U G F 0 a D 5 T Z W N 0 a W 9 u M S 9 L R E 0 v V m 9 v c n d h Y X J k Z W x p a m t l J T I w a 2 9 s b 2 0 l M j B p b m d l d m 9 l Z 2 Q x N z w v S X R l b V B h d G g + P C 9 J d G V t T G 9 j Y X R p b 2 4 + P F N 0 Y W J s Z U V u d H J p Z X M g L z 4 8 L 0 l 0 Z W 0 + P E l 0 Z W 0 + P E l 0 Z W 1 M b 2 N h d G l v b j 4 8 S X R l b V R 5 c G U + R m 9 y b X V s Y T w v S X R l b V R 5 c G U + P E l 0 Z W 1 Q Y X R o P l N l Y 3 R p b 2 4 x L 0 t E T S 9 B Y W 5 n Z X B h c 3 Q l M j B p d G V t J T I w d G 9 l Z 2 V 2 b 2 V n Z D E 4 P C 9 J d G V t U G F 0 a D 4 8 L 0 l 0 Z W 1 M b 2 N h d G l v b j 4 8 U 3 R h Y m x l R W 5 0 c m l l c y A v P j w v S X R l b T 4 8 S X R l b T 4 8 S X R l b U x v Y 2 F 0 a W 9 u P j x J d G V t V H l w Z T 5 G b 3 J t d W x h P C 9 J d G V t V H l w Z T 4 8 S X R l b V B h d G g + U 2 V j d G l v b j E v S 0 R N L 1 Z v b 3 J 3 Y W F y Z G V s a W p r Z S U y M G t v b G 9 t J T I w a W 5 n Z X Z v Z W d k M T g 8 L 0 l 0 Z W 1 Q Y X R o P j w v S X R l b U x v Y 2 F 0 a W 9 u P j x T d G F i b G V F b n R y a W V z I C 8 + P C 9 J d G V t P j x J d G V t P j x J d G V t T G 9 j Y X R p b 2 4 + P E l 0 Z W 1 U e X B l P k Z v c m 1 1 b G E 8 L 0 l 0 Z W 1 U e X B l P j x J d G V t U G F 0 a D 5 T Z W N 0 a W 9 u M S 9 L R E 0 v Q W F u Z 2 V w Y X N 0 J T I w a X R l b S U y M H R v Z W d l d m 9 l Z 2 Q x O T w v S X R l b V B h d G g + P C 9 J d G V t T G 9 j Y X R p b 2 4 + P F N 0 Y W J s Z U V u d H J p Z X M g L z 4 8 L 0 l 0 Z W 0 + P E l 0 Z W 0 + P E l 0 Z W 1 M b 2 N h d G l v b j 4 8 S X R l b V R 5 c G U + R m 9 y b X V s Y T w v S X R l b V R 5 c G U + P E l 0 Z W 1 Q Y X R o P l N l Y 3 R p b 2 4 x L 0 t E T S 9 W b 2 9 y d 2 F h c m R l b G l q a 2 U l M j B r b 2 x v b S U y M G l u Z 2 V 2 b 2 V n Z D E 5 P C 9 J d G V t U G F 0 a D 4 8 L 0 l 0 Z W 1 M b 2 N h d G l v b j 4 8 U 3 R h Y m x l R W 5 0 c m l l c y A v P j w v S X R l b T 4 8 S X R l b T 4 8 S X R l b U x v Y 2 F 0 a W 9 u P j x J d G V t V H l w Z T 5 G b 3 J t d W x h P C 9 J d G V t V H l w Z T 4 8 S X R l b V B h d G g + U 2 V j d G l v b j E v S 0 R N L 0 F h b m d l c G F z d C U y M G l 0 Z W 0 l M j B 0 b 2 V n Z X Z v Z W d k M j A 8 L 0 l 0 Z W 1 Q Y X R o P j w v S X R l b U x v Y 2 F 0 a W 9 u P j x T d G F i b G V F b n R y a W V z I C 8 + P C 9 J d G V t P j x J d G V t P j x J d G V t T G 9 j Y X R p b 2 4 + P E l 0 Z W 1 U e X B l P k Z v c m 1 1 b G E 8 L 0 l 0 Z W 1 U e X B l P j x J d G V t U G F 0 a D 5 T Z W N 0 a W 9 u M S 9 L R E 0 v Q W F u Z 2 V w Y X N 0 J T I w a X R l b S U y M H R v Z W d l d m 9 l Z 2 Q y M T w v S X R l b V B h d G g + P C 9 J d G V t T G 9 j Y X R p b 2 4 + P F N 0 Y W J s Z U V u d H J p Z X M g L z 4 8 L 0 l 0 Z W 0 + P E l 0 Z W 0 + P E l 0 Z W 1 M b 2 N h d G l v b j 4 8 S X R l b V R 5 c G U + R m 9 y b X V s Y T w v S X R l b V R 5 c G U + P E l 0 Z W 1 Q Y X R o P l N l Y 3 R p b 2 4 x L 0 t E T S 9 B Y W 5 n Z X B h c 3 Q l M j B p d G V t J T I w d G 9 l Z 2 V 2 b 2 V n Z D I y P C 9 J d G V t U G F 0 a D 4 8 L 0 l 0 Z W 1 M b 2 N h d G l v b j 4 8 U 3 R h Y m x l R W 5 0 c m l l c y A v P j w v S X R l b T 4 8 S X R l b T 4 8 S X R l b U x v Y 2 F 0 a W 9 u P j x J d G V t V H l w Z T 5 G b 3 J t d W x h P C 9 J d G V t V H l w Z T 4 8 S X R l b V B h d G g + U 2 V j d G l v b j E v S 0 R N L 0 5 h b W V u J T I w d m F u J T I w a 2 9 s b 2 1 t Z W 4 l M j B n Z X d p a n p p Z 2 Q l M j A x P C 9 J d G V t U G F 0 a D 4 8 L 0 l 0 Z W 1 M b 2 N h d G l v b j 4 8 U 3 R h Y m x l R W 5 0 c m l l c y A v P j w v S X R l b T 4 8 S X R l b T 4 8 S X R l b U x v Y 2 F 0 a W 9 u P j x J d G V t V H l w Z T 5 G b 3 J t d W x h P C 9 J d G V t V H l w Z T 4 8 S X R l b V B h d G g + U 2 V j d G l v b j E v S 0 R N L 0 5 h b W V u J T I w d m F u J T I w a 2 9 s b 2 1 t Z W 4 l M j B n Z X d p a n p p Z 2 Q l M j A y P C 9 J d G V t U G F 0 a D 4 8 L 0 l 0 Z W 1 M b 2 N h d G l v b j 4 8 U 3 R h Y m x l R W 5 0 c m l l c y A v P j w v S X R l b T 4 8 S X R l b T 4 8 S X R l b U x v Y 2 F 0 a W 9 u P j x J d G V t V H l w Z T 5 G b 3 J t d W x h P C 9 J d G V t V H l w Z T 4 8 S X R l b V B h d G g + U 2 V j d G l v b j E v S 0 R N L 0 t v b G 9 t b W V u J T I w d m V y d 2 l q Z G V y Z D w v S X R l b V B h d G g + P C 9 J d G V t T G 9 j Y X R p b 2 4 + P F N 0 Y W J s Z U V u d H J p Z X M g L z 4 8 L 0 l 0 Z W 0 + P E l 0 Z W 0 + P E l 0 Z W 1 M b 2 N h d G l v b j 4 8 S X R l b V R 5 c G U + R m 9 y b X V s Y T w v S X R l b V R 5 c G U + P E l 0 Z W 1 Q Y X R o P l N l Y 3 R p b 2 4 x L 0 t E T S 9 L b 2 x v b W 1 l b i U y M H Z l c n d p a m R l c m Q l M j A x P C 9 J d G V t U G F 0 a D 4 8 L 0 l 0 Z W 1 M b 2 N h d G l v b j 4 8 U 3 R h Y m x l R W 5 0 c m l l c y A v P j w v S X R l b T 4 8 S X R l b T 4 8 S X R l b U x v Y 2 F 0 a W 9 u P j x J d G V t V H l w Z T 5 G b 3 J t d W x h P C 9 J d G V t V H l w Z T 4 8 S X R l b V B h d G g + U 2 V j d G l v b j E v S 0 R N L 0 F h b m d l c G F z d C U y M G l 0 Z W 0 l M j B 0 b 2 V n Z X Z v Z W d k M j g 8 L 0 l 0 Z W 1 Q Y X R o P j w v S X R l b U x v Y 2 F 0 a W 9 u P j x T d G F i b G V F b n R y a W V z I C 8 + P C 9 J d G V t P j x J d G V t P j x J d G V t T G 9 j Y X R p b 2 4 + P E l 0 Z W 1 U e X B l P k Z v c m 1 1 b G E 8 L 0 l 0 Z W 1 U e X B l P j x J d G V t U G F 0 a D 5 T Z W N 0 a W 9 u M S 9 L R E 0 v Q W F u Z 2 V w Y X N 0 J T I w a X R l b S U y M H R v Z W d l d m 9 l Z 2 Q y O T w v S X R l b V B h d G g + P C 9 J d G V t T G 9 j Y X R p b 2 4 + P F N 0 Y W J s Z U V u d H J p Z X M g L z 4 8 L 0 l 0 Z W 0 + P E l 0 Z W 0 + P E l 0 Z W 1 M b 2 N h d G l v b j 4 8 S X R l b V R 5 c G U + R m 9 y b X V s Y T w v S X R l b V R 5 c G U + P E l 0 Z W 1 Q Y X R o P l N l Y 3 R p b 2 4 x L 0 t E T S 9 B Y W 5 n Z X B h c 3 Q l M j B p d G V t J T I w d G 9 l Z 2 V 2 b 2 V n Z D M w P C 9 J d G V t U G F 0 a D 4 8 L 0 l 0 Z W 1 M b 2 N h d G l v b j 4 8 U 3 R h Y m x l R W 5 0 c m l l c y A v P j w v S X R l b T 4 8 S X R l b T 4 8 S X R l b U x v Y 2 F 0 a W 9 u P j x J d G V t V H l w Z T 5 G b 3 J t d W x h P C 9 J d G V t V H l w Z T 4 8 S X R l b V B h d G g + U 2 V j d G l v b j E v S 0 R N L 0 F h b m d l c G F z d C U y M G l 0 Z W 0 l M j B 0 b 2 V n Z X Z v Z W d k M z E 8 L 0 l 0 Z W 1 Q Y X R o P j w v S X R l b U x v Y 2 F 0 a W 9 u P j x T d G F i b G V F b n R y a W V z I C 8 + P C 9 J d G V t P j x J d G V t P j x J d G V t T G 9 j Y X R p b 2 4 + P E l 0 Z W 1 U e X B l P k Z v c m 1 1 b G E 8 L 0 l 0 Z W 1 U e X B l P j x J d G V t U G F 0 a D 5 T Z W N 0 a W 9 u M S 9 L R E 0 v Q W F u Z 2 V w Y X N 0 J T I w a X R l b S U y M H R v Z W d l d m 9 l Z 2 Q z M j w v S X R l b V B h d G g + P C 9 J d G V t T G 9 j Y X R p b 2 4 + P F N 0 Y W J s Z U V u d H J p Z X M g L z 4 8 L 0 l 0 Z W 0 + P E l 0 Z W 0 + P E l 0 Z W 1 M b 2 N h d G l v b j 4 8 S X R l b V R 5 c G U + R m 9 y b X V s Y T w v S X R l b V R 5 c G U + P E l 0 Z W 1 Q Y X R o P l N l Y 3 R p b 2 4 x L 0 t E T S 9 B Y W 5 n Z X B h c 3 Q l M j B p d G V t J T I w d G 9 l Z 2 V 2 b 2 V n Z D M z P C 9 J d G V t U G F 0 a D 4 8 L 0 l 0 Z W 1 M b 2 N h d G l v b j 4 8 U 3 R h Y m x l R W 5 0 c m l l c y A v P j w v S X R l b T 4 8 S X R l b T 4 8 S X R l b U x v Y 2 F 0 a W 9 u P j x J d G V t V H l w Z T 5 G b 3 J t d W x h P C 9 J d G V t V H l w Z T 4 8 S X R l b V B h d G g + U 2 V j d G l v b j E v S 0 R N L 0 F h b m d l c G F z d C U y M G l 0 Z W 0 l M j B 0 b 2 V n Z X Z v Z W d k M z Q 8 L 0 l 0 Z W 1 Q Y X R o P j w v S X R l b U x v Y 2 F 0 a W 9 u P j x T d G F i b G V F b n R y a W V z I C 8 + P C 9 J d G V t P j x J d G V t P j x J d G V t T G 9 j Y X R p b 2 4 + P E l 0 Z W 1 U e X B l P k Z v c m 1 1 b G E 8 L 0 l 0 Z W 1 U e X B l P j x J d G V t U G F 0 a D 5 T Z W N 0 a W 9 u M S 9 L R E 0 v Q W F u Z 2 V w Y X N 0 J T I w a X R l b S U y M H R v Z W d l d m 9 l Z 2 Q z N T w v S X R l b V B h d G g + P C 9 J d G V t T G 9 j Y X R p b 2 4 + P F N 0 Y W J s Z U V u d H J p Z X M g L z 4 8 L 0 l 0 Z W 0 + P E l 0 Z W 0 + P E l 0 Z W 1 M b 2 N h d G l v b j 4 8 S X R l b V R 5 c G U + R m 9 y b X V s Y T w v S X R l b V R 5 c G U + P E l 0 Z W 1 Q Y X R o P l N l Y 3 R p b 2 4 x L 0 t E T S 9 B Y W 5 n Z X B h c 3 Q l M j B p d G V t J T I w d G 9 l Z 2 V 2 b 2 V n Z D M 2 P C 9 J d G V t U G F 0 a D 4 8 L 0 l 0 Z W 1 M b 2 N h d G l v b j 4 8 U 3 R h Y m x l R W 5 0 c m l l c y A v P j w v S X R l b T 4 8 S X R l b T 4 8 S X R l b U x v Y 2 F 0 a W 9 u P j x J d G V t V H l w Z T 5 G b 3 J t d W x h P C 9 J d G V t V H l w Z T 4 8 S X R l b V B h d G g + U 2 V j d G l v b j E v S 0 R N L 0 F h b m d l c G F z d C U y M G l 0 Z W 0 l M j B 0 b 2 V n Z X Z v Z W d k M z c 8 L 0 l 0 Z W 1 Q Y X R o P j w v S X R l b U x v Y 2 F 0 a W 9 u P j x T d G F i b G V F b n R y a W V z I C 8 + P C 9 J d G V t P j x J d G V t P j x J d G V t T G 9 j Y X R p b 2 4 + P E l 0 Z W 1 U e X B l P k Z v c m 1 1 b G E 8 L 0 l 0 Z W 1 U e X B l P j x J d G V t U G F 0 a D 5 T Z W N 0 a W 9 u M S 9 L R E 0 v Q W F u Z 2 V w Y X N 0 J T I w a X R l b S U y M H R v Z W d l d m 9 l Z 2 Q z O D w v S X R l b V B h d G g + P C 9 J d G V t T G 9 j Y X R p b 2 4 + P F N 0 Y W J s Z U V u d H J p Z X M g L z 4 8 L 0 l 0 Z W 0 + P E l 0 Z W 0 + P E l 0 Z W 1 M b 2 N h d G l v b j 4 8 S X R l b V R 5 c G U + R m 9 y b X V s Y T w v S X R l b V R 5 c G U + P E l 0 Z W 1 Q Y X R o P l N l Y 3 R p b 2 4 x L 0 t E T S 9 B Y W 5 n Z X B h c 3 Q l M j B p d G V t J T I w d G 9 l Z 2 V 2 b 2 V n Z D M 5 P C 9 J d G V t U G F 0 a D 4 8 L 0 l 0 Z W 1 M b 2 N h d G l v b j 4 8 U 3 R h Y m x l R W 5 0 c m l l c y A v P j w v S X R l b T 4 8 S X R l b T 4 8 S X R l b U x v Y 2 F 0 a W 9 u P j x J d G V t V H l w Z T 5 G b 3 J t d W x h P C 9 J d G V t V H l w Z T 4 8 S X R l b V B h d G g + U 2 V j d G l v b j E v S 0 R N L 0 F h b m d l c G F z d C U y M G l 0 Z W 0 l M j B 0 b 2 V n Z X Z v Z W d k N D A 8 L 0 l 0 Z W 1 Q Y X R o P j w v S X R l b U x v Y 2 F 0 a W 9 u P j x T d G F i b G V F b n R y a W V z I C 8 + P C 9 J d G V t P j x J d G V t P j x J d G V t T G 9 j Y X R p b 2 4 + P E l 0 Z W 1 U e X B l P k Z v c m 1 1 b G E 8 L 0 l 0 Z W 1 U e X B l P j x J d G V t U G F 0 a D 5 T Z W N 0 a W 9 u M S 9 L R E 0 v Q W F u Z 2 V w Y X N 0 J T I w a X R l b S U y M H R v Z W d l d m 9 l Z 2 Q 0 M T w v S X R l b V B h d G g + P C 9 J d G V t T G 9 j Y X R p b 2 4 + P F N 0 Y W J s Z U V u d H J p Z X M g L z 4 8 L 0 l 0 Z W 0 + P E l 0 Z W 0 + P E l 0 Z W 1 M b 2 N h d G l v b j 4 8 S X R l b V R 5 c G U + R m 9 y b X V s Y T w v S X R l b V R 5 c G U + P E l 0 Z W 1 Q Y X R o P l N l Y 3 R p b 2 4 x L 0 t E T S 9 B Y W 5 n Z X B h c 3 Q l M j B p d G V t J T I w d G 9 l Z 2 V 2 b 2 V n Z D Q y P C 9 J d G V t U G F 0 a D 4 8 L 0 l 0 Z W 1 M b 2 N h d G l v b j 4 8 U 3 R h Y m x l R W 5 0 c m l l c y A v P j w v S X R l b T 4 8 S X R l b T 4 8 S X R l b U x v Y 2 F 0 a W 9 u P j x J d G V t V H l w Z T 5 G b 3 J t d W x h P C 9 J d G V t V H l w Z T 4 8 S X R l b V B h d G g + U 2 V j d G l v b j E v S 0 R N L 0 F h b m d l c G F z d C U y M G l 0 Z W 0 l M j B 0 b 2 V n Z X Z v Z W d k N D M 8 L 0 l 0 Z W 1 Q Y X R o P j w v S X R l b U x v Y 2 F 0 a W 9 u P j x T d G F i b G V F b n R y a W V z I C 8 + P C 9 J d G V t P j x J d G V t P j x J d G V t T G 9 j Y X R p b 2 4 + P E l 0 Z W 1 U e X B l P k Z v c m 1 1 b G E 8 L 0 l 0 Z W 1 U e X B l P j x J d G V t U G F 0 a D 5 T Z W N 0 a W 9 u M S 9 L R E 0 v Q W F u Z 2 V w Y X N 0 J T I w a X R l b S U y M H R v Z W d l d m 9 l Z 2 Q 0 N D w v S X R l b V B h d G g + P C 9 J d G V t T G 9 j Y X R p b 2 4 + P F N 0 Y W J s Z U V u d H J p Z X M g L z 4 8 L 0 l 0 Z W 0 + P E l 0 Z W 0 + P E l 0 Z W 1 M b 2 N h d G l v b j 4 8 S X R l b V R 5 c G U + R m 9 y b X V s Y T w v S X R l b V R 5 c G U + P E l 0 Z W 1 Q Y X R o P l N l Y 3 R p b 2 4 x L 0 t E T S 9 B Y W 5 n Z X B h c 3 Q l M j B p d G V t J T I w d G 9 l Z 2 V 2 b 2 V n Z D Q 1 P C 9 J d G V t U G F 0 a D 4 8 L 0 l 0 Z W 1 M b 2 N h d G l v b j 4 8 U 3 R h Y m x l R W 5 0 c m l l c y A v P j w v S X R l b T 4 8 S X R l b T 4 8 S X R l b U x v Y 2 F 0 a W 9 u P j x J d G V t V H l w Z T 5 G b 3 J t d W x h P C 9 J d G V t V H l w Z T 4 8 S X R l b V B h d G g + U 2 V j d G l v b j E v S 0 R N L 0 F h b m d l c G F z d C U y M G l 0 Z W 0 l M j B 0 b 2 V n Z X Z v Z W d k N D Y 8 L 0 l 0 Z W 1 Q Y X R o P j w v S X R l b U x v Y 2 F 0 a W 9 u P j x T d G F i b G V F b n R y a W V z I C 8 + P C 9 J d G V t P j x J d G V t P j x J d G V t T G 9 j Y X R p b 2 4 + P E l 0 Z W 1 U e X B l P k Z v c m 1 1 b G E 8 L 0 l 0 Z W 1 U e X B l P j x J d G V t U G F 0 a D 5 T Z W N 0 a W 9 u M S 9 L R E 0 v Q W F u Z 2 V w Y X N 0 J T I w a X R l b S U y M H R v Z W d l d m 9 l Z 2 Q 0 N z w v S X R l b V B h d G g + P C 9 J d G V t T G 9 j Y X R p b 2 4 + P F N 0 Y W J s Z U V u d H J p Z X M g L z 4 8 L 0 l 0 Z W 0 + P E l 0 Z W 0 + P E l 0 Z W 1 M b 2 N h d G l v b j 4 8 S X R l b V R 5 c G U + R m 9 y b X V s Y T w v S X R l b V R 5 c G U + P E l 0 Z W 1 Q Y X R o P l N l Y 3 R p b 2 4 x L 0 t E T S 9 B Y W 5 n Z X B h c 3 Q l M j B p d G V t J T I w d G 9 l Z 2 V 2 b 2 V n Z D Q 4 P C 9 J d G V t U G F 0 a D 4 8 L 0 l 0 Z W 1 M b 2 N h d G l v b j 4 8 U 3 R h Y m x l R W 5 0 c m l l c y A v P j w v S X R l b T 4 8 S X R l b T 4 8 S X R l b U x v Y 2 F 0 a W 9 u P j x J d G V t V H l w Z T 5 G b 3 J t d W x h P C 9 J d G V t V H l w Z T 4 8 S X R l b V B h d G g + U 2 V j d G l v b j E v S 0 R N L 0 F h b m d l c G F z d C U y M G l 0 Z W 0 l M j B 0 b 2 V n Z X Z v Z W d k N D k 8 L 0 l 0 Z W 1 Q Y X R o P j w v S X R l b U x v Y 2 F 0 a W 9 u P j x T d G F i b G V F b n R y a W V z I C 8 + P C 9 J d G V t P j x J d G V t P j x J d G V t T G 9 j Y X R p b 2 4 + P E l 0 Z W 1 U e X B l P k Z v c m 1 1 b G E 8 L 0 l 0 Z W 1 U e X B l P j x J d G V t U G F 0 a D 5 T Z W N 0 a W 9 u M S 9 L R E 0 v Q W F u Z 2 V w Y X N 0 J T I w a X R l b S U y M H R v Z W d l d m 9 l Z 2 Q 1 M D w v S X R l b V B h d G g + P C 9 J d G V t T G 9 j Y X R p b 2 4 + P F N 0 Y W J s Z U V u d H J p Z X M g L z 4 8 L 0 l 0 Z W 0 + P E l 0 Z W 0 + P E l 0 Z W 1 M b 2 N h d G l v b j 4 8 S X R l b V R 5 c G U + R m 9 y b X V s Y T w v S X R l b V R 5 c G U + P E l 0 Z W 1 Q Y X R o P l N l Y 3 R p b 2 4 x L 0 t E T S 9 B Y W 5 n Z X B h c 3 Q l M j B p d G V t J T I w d G 9 l Z 2 V 2 b 2 V n Z D U x P C 9 J d G V t U G F 0 a D 4 8 L 0 l 0 Z W 1 M b 2 N h d G l v b j 4 8 U 3 R h Y m x l R W 5 0 c m l l c y A v P j w v S X R l b T 4 8 S X R l b T 4 8 S X R l b U x v Y 2 F 0 a W 9 u P j x J d G V t V H l w Z T 5 G b 3 J t d W x h P C 9 J d G V t V H l w Z T 4 8 S X R l b V B h d G g + U 2 V j d G l v b j E v S 0 R N L 0 F h b m d l c G F z d C U y M G l 0 Z W 0 l M j B 0 b 2 V n Z X Z v Z W d k N T I 8 L 0 l 0 Z W 1 Q Y X R o P j w v S X R l b U x v Y 2 F 0 a W 9 u P j x T d G F i b G V F b n R y a W V z I C 8 + P C 9 J d G V t P j x J d G V t P j x J d G V t T G 9 j Y X R p b 2 4 + P E l 0 Z W 1 U e X B l P k Z v c m 1 1 b G E 8 L 0 l 0 Z W 1 U e X B l P j x J d G V t U G F 0 a D 5 T Z W N 0 a W 9 u M S 9 L R E 0 v Q W F u Z 2 V w Y X N 0 J T I w a X R l b S U y M H R v Z W d l d m 9 l Z 2 Q 1 M z w v S X R l b V B h d G g + P C 9 J d G V t T G 9 j Y X R p b 2 4 + P F N 0 Y W J s Z U V u d H J p Z X M g L z 4 8 L 0 l 0 Z W 0 + P E l 0 Z W 0 + P E l 0 Z W 1 M b 2 N h d G l v b j 4 8 S X R l b V R 5 c G U + R m 9 y b X V s Y T w v S X R l b V R 5 c G U + P E l 0 Z W 1 Q Y X R o P l N l Y 3 R p b 2 4 x L 0 t E T S 9 B Y W 5 n Z X B h c 3 Q l M j B p d G V t J T I w d G 9 l Z 2 V 2 b 2 V n Z D U 0 P C 9 J d G V t U G F 0 a D 4 8 L 0 l 0 Z W 1 M b 2 N h d G l v b j 4 8 U 3 R h Y m x l R W 5 0 c m l l c y A v P j w v S X R l b T 4 8 S X R l b T 4 8 S X R l b U x v Y 2 F 0 a W 9 u P j x J d G V t V H l w Z T 5 G b 3 J t d W x h P C 9 J d G V t V H l w Z T 4 8 S X R l b V B h d G g + U 2 V j d G l v b j E v S 0 R N L 0 F h b m d l c G F z d C U y M G l 0 Z W 0 l M j B 0 b 2 V n Z X Z v Z W d k N T U 8 L 0 l 0 Z W 1 Q Y X R o P j w v S X R l b U x v Y 2 F 0 a W 9 u P j x T d G F i b G V F b n R y a W V z I C 8 + P C 9 J d G V t P j x J d G V t P j x J d G V t T G 9 j Y X R p b 2 4 + P E l 0 Z W 1 U e X B l P k Z v c m 1 1 b G E 8 L 0 l 0 Z W 1 U e X B l P j x J d G V t U G F 0 a D 5 T Z W N 0 a W 9 u M S 9 L R E 0 v Q W F u Z 2 V w Y X N 0 J T I w a X R l b S U y M H R v Z W d l d m 9 l Z 2 Q 1 N j w v S X R l b V B h d G g + P C 9 J d G V t T G 9 j Y X R p b 2 4 + P F N 0 Y W J s Z U V u d H J p Z X M g L z 4 8 L 0 l 0 Z W 0 + P E l 0 Z W 0 + P E l 0 Z W 1 M b 2 N h d G l v b j 4 8 S X R l b V R 5 c G U + R m 9 y b X V s Y T w v S X R l b V R 5 c G U + P E l 0 Z W 1 Q Y X R o P l N l Y 3 R p b 2 4 x L 0 t E T S 9 B Y W 5 n Z X B h c 3 Q l M j B p d G V t J T I w d G 9 l Z 2 V 2 b 2 V n Z D U 3 P C 9 J d G V t U G F 0 a D 4 8 L 0 l 0 Z W 1 M b 2 N h d G l v b j 4 8 U 3 R h Y m x l R W 5 0 c m l l c y A v P j w v S X R l b T 4 8 S X R l b T 4 8 S X R l b U x v Y 2 F 0 a W 9 u P j x J d G V t V H l w Z T 5 G b 3 J t d W x h P C 9 J d G V t V H l w Z T 4 8 S X R l b V B h d G g + U 2 V j d G l v b j E v S 0 R N L 1 Z v b 3 J 3 Y W F y Z G V s a W p r Z S U y M G t v b G 9 t J T I w a W 5 n Z X Z v Z W d k M z A 8 L 0 l 0 Z W 1 Q Y X R o P j w v S X R l b U x v Y 2 F 0 a W 9 u P j x T d G F i b G V F b n R y a W V z I C 8 + P C 9 J d G V t P j x J d G V t P j x J d G V t T G 9 j Y X R p b 2 4 + P E l 0 Z W 1 U e X B l P k Z v c m 1 1 b G E 8 L 0 l 0 Z W 1 U e X B l P j x J d G V t U G F 0 a D 5 T Z W N 0 a W 9 u M S 9 L R E 0 v V m 9 v c n d h Y X J k Z W x p a m t l J T I w a 2 9 s b 2 0 l M j B p b m d l d m 9 l Z 2 Q z M T w v S X R l b V B h d G g + P C 9 J d G V t T G 9 j Y X R p b 2 4 + P F N 0 Y W J s Z U V u d H J p Z X M g L z 4 8 L 0 l 0 Z W 0 + P E l 0 Z W 0 + P E l 0 Z W 1 M b 2 N h d G l v b j 4 8 S X R l b V R 5 c G U + R m 9 y b X V s Y T w v S X R l b V R 5 c G U + P E l 0 Z W 1 Q Y X R o P l N l Y 3 R p b 2 4 x L 0 t E T S 9 W b 2 9 y d 2 F h c m R l b G l q a 2 U l M j B r b 2 x v b S U y M G l u Z 2 V 2 b 2 V n Z D M y P C 9 J d G V t U G F 0 a D 4 8 L 0 l 0 Z W 1 M b 2 N h d G l v b j 4 8 U 3 R h Y m x l R W 5 0 c m l l c y A v P j w v S X R l b T 4 8 S X R l b T 4 8 S X R l b U x v Y 2 F 0 a W 9 u P j x J d G V t V H l w Z T 5 G b 3 J t d W x h P C 9 J d G V t V H l w Z T 4 8 S X R l b V B h d G g + U 2 V j d G l v b j E v S 0 R N L 1 Z v b 3 J 3 Y W F y Z G V s a W p r Z S U y M G t v b G 9 t J T I w a W 5 n Z X Z v Z W d k M z M 8 L 0 l 0 Z W 1 Q Y X R o P j w v S X R l b U x v Y 2 F 0 a W 9 u P j x T d G F i b G V F b n R y a W V z I C 8 + P C 9 J d G V t P j x J d G V t P j x J d G V t T G 9 j Y X R p b 2 4 + P E l 0 Z W 1 U e X B l P k Z v c m 1 1 b G E 8 L 0 l 0 Z W 1 U e X B l P j x J d G V t U G F 0 a D 5 T Z W N 0 a W 9 u M S 9 L R E 0 v V m 9 v c n d h Y X J k Z W x p a m t l J T I w a 2 9 s b 2 0 l M j B p b m d l d m 9 l Z 2 Q z N D w v S X R l b V B h d G g + P C 9 J d G V t T G 9 j Y X R p b 2 4 + P F N 0 Y W J s Z U V u d H J p Z X M g L z 4 8 L 0 l 0 Z W 0 + P E l 0 Z W 0 + P E l 0 Z W 1 M b 2 N h d G l v b j 4 8 S X R l b V R 5 c G U + R m 9 y b X V s Y T w v S X R l b V R 5 c G U + P E l 0 Z W 1 Q Y X R o P l N l Y 3 R p b 2 4 x L 0 t E T S 9 W b 2 9 y d 2 F h c m R l b G l q a 2 U l M j B r b 2 x v b S U y M G l u Z 2 V 2 b 2 V n Z D M 1 P C 9 J d G V t U G F 0 a D 4 8 L 0 l 0 Z W 1 M b 2 N h d G l v b j 4 8 U 3 R h Y m x l R W 5 0 c m l l c y A v P j w v S X R l b T 4 8 S X R l b T 4 8 S X R l b U x v Y 2 F 0 a W 9 u P j x J d G V t V H l w Z T 5 G b 3 J t d W x h P C 9 J d G V t V H l w Z T 4 8 S X R l b V B h d G g + U 2 V j d G l v b j E v S 0 R N L 1 Z v b 3 J 3 Y W F y Z G V s a W p r Z S U y M G t v b G 9 t J T I w a W 5 n Z X Z v Z W d k M z Y 8 L 0 l 0 Z W 1 Q Y X R o P j w v S X R l b U x v Y 2 F 0 a W 9 u P j x T d G F i b G V F b n R y a W V z I C 8 + P C 9 J d G V t P j x J d G V t P j x J d G V t T G 9 j Y X R p b 2 4 + P E l 0 Z W 1 U e X B l P k Z v c m 1 1 b G E 8 L 0 l 0 Z W 1 U e X B l P j x J d G V t U G F 0 a D 5 T Z W N 0 a W 9 u M S 9 L R E 0 v V m 9 v c n d h Y X J k Z W x p a m t l J T I w a 2 9 s b 2 0 l M j B p b m d l d m 9 l Z 2 Q z N z w v S X R l b V B h d G g + P C 9 J d G V t T G 9 j Y X R p b 2 4 + P F N 0 Y W J s Z U V u d H J p Z X M g L z 4 8 L 0 l 0 Z W 0 + P E l 0 Z W 0 + P E l 0 Z W 1 M b 2 N h d G l v b j 4 8 S X R l b V R 5 c G U + R m 9 y b X V s Y T w v S X R l b V R 5 c G U + P E l 0 Z W 1 Q Y X R o P l N l Y 3 R p b 2 4 x L 0 t E T S 9 W b 2 9 y d 2 F h c m R l b G l q a 2 U l M j B r b 2 x v b S U y M G l u Z 2 V 2 b 2 V n Z D M 4 P C 9 J d G V t U G F 0 a D 4 8 L 0 l 0 Z W 1 M b 2 N h d G l v b j 4 8 U 3 R h Y m x l R W 5 0 c m l l c y A v P j w v S X R l b T 4 8 S X R l b T 4 8 S X R l b U x v Y 2 F 0 a W 9 u P j x J d G V t V H l w Z T 5 G b 3 J t d W x h P C 9 J d G V t V H l w Z T 4 8 S X R l b V B h d G g + U 2 V j d G l v b j E v S 0 R N L 1 Z v b 3 J 3 Y W F y Z G V s a W p r Z S U y M G t v b G 9 t J T I w a W 5 n Z X Z v Z W d k M z k 8 L 0 l 0 Z W 1 Q Y X R o P j w v S X R l b U x v Y 2 F 0 a W 9 u P j x T d G F i b G V F b n R y a W V z I C 8 + P C 9 J d G V t P j x J d G V t P j x J d G V t T G 9 j Y X R p b 2 4 + P E l 0 Z W 1 U e X B l P k Z v c m 1 1 b G E 8 L 0 l 0 Z W 1 U e X B l P j x J d G V t U G F 0 a D 5 T Z W N 0 a W 9 u M S 9 L R E 0 v V m 9 v c n d h Y X J k Z W x p a m t l J T I w a 2 9 s b 2 0 l M j B p b m d l d m 9 l Z 2 Q 0 M D w v S X R l b V B h d G g + P C 9 J d G V t T G 9 j Y X R p b 2 4 + P F N 0 Y W J s Z U V u d H J p Z X M g L z 4 8 L 0 l 0 Z W 0 + P E l 0 Z W 0 + P E l 0 Z W 1 M b 2 N h d G l v b j 4 8 S X R l b V R 5 c G U + R m 9 y b X V s Y T w v S X R l b V R 5 c G U + P E l 0 Z W 1 Q Y X R o P l N l Y 3 R p b 2 4 x L 0 t E T S 9 W b 2 9 y d 2 F h c m R l b G l q a 2 U l M j B r b 2 x v b S U y M G l u Z 2 V 2 b 2 V n Z D Q x P C 9 J d G V t U G F 0 a D 4 8 L 0 l 0 Z W 1 M b 2 N h d G l v b j 4 8 U 3 R h Y m x l R W 5 0 c m l l c y A v P j w v S X R l b T 4 8 S X R l b T 4 8 S X R l b U x v Y 2 F 0 a W 9 u P j x J d G V t V H l w Z T 5 G b 3 J t d W x h P C 9 J d G V t V H l w Z T 4 8 S X R l b V B h d G g + U 2 V j d G l v b j E v S 0 R N L 1 Z v b 3 J 3 Y W F y Z G V s a W p r Z S U y M G t v b G 9 t J T I w a W 5 n Z X Z v Z W d k N D I 8 L 0 l 0 Z W 1 Q Y X R o P j w v S X R l b U x v Y 2 F 0 a W 9 u P j x T d G F i b G V F b n R y a W V z I C 8 + P C 9 J d G V t P j x J d G V t P j x J d G V t T G 9 j Y X R p b 2 4 + P E l 0 Z W 1 U e X B l P k Z v c m 1 1 b G E 8 L 0 l 0 Z W 1 U e X B l P j x J d G V t U G F 0 a D 5 T Z W N 0 a W 9 u M S 9 L R E 0 v V m 9 v c n d h Y X J k Z W x p a m t l J T I w a 2 9 s b 2 0 l M j B p b m d l d m 9 l Z 2 Q 0 M z w v S X R l b V B h d G g + P C 9 J d G V t T G 9 j Y X R p b 2 4 + P F N 0 Y W J s Z U V u d H J p Z X M g L z 4 8 L 0 l 0 Z W 0 + P E l 0 Z W 0 + P E l 0 Z W 1 M b 2 N h d G l v b j 4 8 S X R l b V R 5 c G U + R m 9 y b X V s Y T w v S X R l b V R 5 c G U + P E l 0 Z W 1 Q Y X R o P l N l Y 3 R p b 2 4 x L 0 t E T S 9 W b 2 9 y d 2 F h c m R l b G l q a 2 U l M j B r b 2 x v b S U y M G l u Z 2 V 2 b 2 V n Z D Q 0 P C 9 J d G V t U G F 0 a D 4 8 L 0 l 0 Z W 1 M b 2 N h d G l v b j 4 8 U 3 R h Y m x l R W 5 0 c m l l c y A v P j w v S X R l b T 4 8 S X R l b T 4 8 S X R l b U x v Y 2 F 0 a W 9 u P j x J d G V t V H l w Z T 5 G b 3 J t d W x h P C 9 J d G V t V H l w Z T 4 8 S X R l b V B h d G g + U 2 V j d G l v b j E v S 0 R N L 1 Z v b 3 J 3 Y W F y Z G V s a W p r Z S U y M G t v b G 9 t J T I w a W 5 n Z X Z v Z W d k N D U 8 L 0 l 0 Z W 1 Q Y X R o P j w v S X R l b U x v Y 2 F 0 a W 9 u P j x T d G F i b G V F b n R y a W V z I C 8 + P C 9 J d G V t P j x J d G V t P j x J d G V t T G 9 j Y X R p b 2 4 + P E l 0 Z W 1 U e X B l P k Z v c m 1 1 b G E 8 L 0 l 0 Z W 1 U e X B l P j x J d G V t U G F 0 a D 5 T Z W N 0 a W 9 u M S 9 L R E 0 v V m 9 v c n d h Y X J k Z W x p a m t l J T I w a 2 9 s b 2 0 l M j B p b m d l d m 9 l Z 2 Q 0 N j w v S X R l b V B h d G g + P C 9 J d G V t T G 9 j Y X R p b 2 4 + P F N 0 Y W J s Z U V u d H J p Z X M g L z 4 8 L 0 l 0 Z W 0 + P E l 0 Z W 0 + P E l 0 Z W 1 M b 2 N h d G l v b j 4 8 S X R l b V R 5 c G U + R m 9 y b X V s Y T w v S X R l b V R 5 c G U + P E l 0 Z W 1 Q Y X R o P l N l Y 3 R p b 2 4 x L 0 t E T S 9 W b 2 9 y d 2 F h c m R l b G l q a 2 U l M j B r b 2 x v b S U y M G l u Z 2 V 2 b 2 V n Z D Q 3 P C 9 J d G V t U G F 0 a D 4 8 L 0 l 0 Z W 1 M b 2 N h d G l v b j 4 8 U 3 R h Y m x l R W 5 0 c m l l c y A v P j w v S X R l b T 4 8 S X R l b T 4 8 S X R l b U x v Y 2 F 0 a W 9 u P j x J d G V t V H l w Z T 5 G b 3 J t d W x h P C 9 J d G V t V H l w Z T 4 8 S X R l b V B h d G g + U 2 V j d G l v b j E v S 0 R N L 1 Z v b 3 J 3 Y W F y Z G V s a W p r Z S U y M G t v b G 9 t J T I w a W 5 n Z X Z v Z W d k N D g 8 L 0 l 0 Z W 1 Q Y X R o P j w v S X R l b U x v Y 2 F 0 a W 9 u P j x T d G F i b G V F b n R y a W V z I C 8 + P C 9 J d G V t P j x J d G V t P j x J d G V t T G 9 j Y X R p b 2 4 + P E l 0 Z W 1 U e X B l P k Z v c m 1 1 b G E 8 L 0 l 0 Z W 1 U e X B l P j x J d G V t U G F 0 a D 5 T Z W N 0 a W 9 u M S 9 L R E 0 v V m 9 v c n d h Y X J k Z W x p a m t l J T I w a 2 9 s b 2 0 l M j B p b m d l d m 9 l Z 2 Q 0 O T w v S X R l b V B h d G g + P C 9 J d G V t T G 9 j Y X R p b 2 4 + P F N 0 Y W J s Z U V u d H J p Z X M g L z 4 8 L 0 l 0 Z W 0 + P E l 0 Z W 0 + P E l 0 Z W 1 M b 2 N h d G l v b j 4 8 S X R l b V R 5 c G U + R m 9 y b X V s Y T w v S X R l b V R 5 c G U + P E l 0 Z W 1 Q Y X R o P l N l Y 3 R p b 2 4 x L 0 t E T S 9 W b 2 9 y d 2 F h c m R l b G l q a 2 U l M j B r b 2 x v b S U y M G l u Z 2 V 2 b 2 V n Z D U w P C 9 J d G V t U G F 0 a D 4 8 L 0 l 0 Z W 1 M b 2 N h d G l v b j 4 8 U 3 R h Y m x l R W 5 0 c m l l c y A v P j w v S X R l b T 4 8 S X R l b T 4 8 S X R l b U x v Y 2 F 0 a W 9 u P j x J d G V t V H l w Z T 5 G b 3 J t d W x h P C 9 J d G V t V H l w Z T 4 8 S X R l b V B h d G g + U 2 V j d G l v b j E v S 0 R N L 1 Z v b 3 J 3 Y W F y Z G V s a W p r Z S U y M G t v b G 9 t J T I w a W 5 n Z X Z v Z W d k N T E 8 L 0 l 0 Z W 1 Q Y X R o P j w v S X R l b U x v Y 2 F 0 a W 9 u P j x T d G F i b G V F b n R y a W V z I C 8 + P C 9 J d G V t P j x J d G V t P j x J d G V t T G 9 j Y X R p b 2 4 + P E l 0 Z W 1 U e X B l P k Z v c m 1 1 b G E 8 L 0 l 0 Z W 1 U e X B l P j x J d G V t U G F 0 a D 5 T Z W N 0 a W 9 u M S 9 L R E 0 v V m 9 v c n d h Y X J k Z W x p a m t l J T I w a 2 9 s b 2 0 l M j B p b m d l d m 9 l Z 2 Q 1 M j w v S X R l b V B h d G g + P C 9 J d G V t T G 9 j Y X R p b 2 4 + P F N 0 Y W J s Z U V u d H J p Z X M g L z 4 8 L 0 l 0 Z W 0 + P E l 0 Z W 0 + P E l 0 Z W 1 M b 2 N h d G l v b j 4 8 S X R l b V R 5 c G U + R m 9 y b X V s Y T w v S X R l b V R 5 c G U + P E l 0 Z W 1 Q Y X R o P l N l Y 3 R p b 2 4 x L 0 t E T S 9 W b 2 9 y d 2 F h c m R l b G l q a 2 U l M j B r b 2 x v b S U y M G l u Z 2 V 2 b 2 V n Z D U z P C 9 J d G V t U G F 0 a D 4 8 L 0 l 0 Z W 1 M b 2 N h d G l v b j 4 8 U 3 R h Y m x l R W 5 0 c m l l c y A v P j w v S X R l b T 4 8 S X R l b T 4 8 S X R l b U x v Y 2 F 0 a W 9 u P j x J d G V t V H l w Z T 5 G b 3 J t d W x h P C 9 J d G V t V H l w Z T 4 8 S X R l b V B h d G g + U 2 V j d G l v b j E v S 0 R N L 1 Z v b 3 J 3 Y W F y Z G V s a W p r Z S U y M G t v b G 9 t J T I w a W 5 n Z X Z v Z W d k N T Q 8 L 0 l 0 Z W 1 Q Y X R o P j w v S X R l b U x v Y 2 F 0 a W 9 u P j x T d G F i b G V F b n R y a W V z I C 8 + P C 9 J d G V t P j x J d G V t P j x J d G V t T G 9 j Y X R p b 2 4 + P E l 0 Z W 1 U e X B l P k Z v c m 1 1 b G E 8 L 0 l 0 Z W 1 U e X B l P j x J d G V t U G F 0 a D 5 T Z W N 0 a W 9 u M S 9 L R E 0 v V m 9 v c n d h Y X J k Z W x p a m t l J T I w a 2 9 s b 2 0 l M j B p b m d l d m 9 l Z 2 Q 1 N T w v S X R l b V B h d G g + P C 9 J d G V t T G 9 j Y X R p b 2 4 + P F N 0 Y W J s Z U V u d H J p Z X M g L z 4 8 L 0 l 0 Z W 0 + P E l 0 Z W 0 + P E l 0 Z W 1 M b 2 N h d G l v b j 4 8 S X R l b V R 5 c G U + R m 9 y b X V s Y T w v S X R l b V R 5 c G U + P E l 0 Z W 1 Q Y X R o P l N l Y 3 R p b 2 4 x L 0 t E T S 9 W b 2 9 y d 2 F h c m R l b G l q a 2 U l M j B r b 2 x v b S U y M G l u Z 2 V 2 b 2 V n Z D U 2 P C 9 J d G V t U G F 0 a D 4 8 L 0 l 0 Z W 1 M b 2 N h d G l v b j 4 8 U 3 R h Y m x l R W 5 0 c m l l c y A v P j w v S X R l b T 4 8 S X R l b T 4 8 S X R l b U x v Y 2 F 0 a W 9 u P j x J d G V t V H l w Z T 5 G b 3 J t d W x h P C 9 J d G V t V H l w Z T 4 8 S X R l b V B h d G g + U 2 V j d G l v b j E v S 0 R N L 1 Z v b 3 J 3 Y W F y Z G V s a W p r Z S U y M G t v b G 9 t J T I w a W 5 n Z X Z v Z W d k N T c 8 L 0 l 0 Z W 1 Q Y X R o P j w v S X R l b U x v Y 2 F 0 a W 9 u P j x T d G F i b G V F b n R y a W V z I C 8 + P C 9 J d G V t P j x J d G V t P j x J d G V t T G 9 j Y X R p b 2 4 + P E l 0 Z W 1 U e X B l P k Z v c m 1 1 b G E 8 L 0 l 0 Z W 1 U e X B l P j x J d G V t U G F 0 a D 5 T Z W N 0 a W 9 u M S 9 L R E 0 v V m 9 v c n d h Y X J k Z W x p a m t l J T I w a 2 9 s b 2 0 l M j B p b m d l d m 9 l Z 2 Q 1 O D w v S X R l b V B h d G g + P C 9 J d G V t T G 9 j Y X R p b 2 4 + P F N 0 Y W J s Z U V u d H J p Z X M g L z 4 8 L 0 l 0 Z W 0 + P E l 0 Z W 0 + P E l 0 Z W 1 M b 2 N h d G l v b j 4 8 S X R l b V R 5 c G U + R m 9 y b X V s Y T w v S X R l b V R 5 c G U + P E l 0 Z W 1 Q Y X R o P l N l Y 3 R p b 2 4 x L 0 t E T S 9 W b 2 9 y d 2 F h c m R l b G l q a 2 U l M j B r b 2 x v b S U y M G l u Z 2 V 2 b 2 V n Z D U 5 P C 9 J d G V t U G F 0 a D 4 8 L 0 l 0 Z W 1 M b 2 N h d G l v b j 4 8 U 3 R h Y m x l R W 5 0 c m l l c y A v P j w v S X R l b T 4 8 S X R l b T 4 8 S X R l b U x v Y 2 F 0 a W 9 u P j x J d G V t V H l w Z T 5 G b 3 J t d W x h P C 9 J d G V t V H l w Z T 4 8 S X R l b V B h d G g + U 2 V j d G l v b j E v S 0 R N L 0 F h b m d l c G F z d C U y M G l 0 Z W 0 l M j B 0 b 2 V n Z X Z v Z W d k J T I w M T w v S X R l b V B h d G g + P C 9 J d G V t T G 9 j Y X R p b 2 4 + P F N 0 Y W J s Z U V u d H J p Z X M g L z 4 8 L 0 l 0 Z W 0 + P E l 0 Z W 0 + P E l 0 Z W 1 M b 2 N h d G l v b j 4 8 S X R l b V R 5 c G U + R m 9 y b X V s Y T w v S X R l b V R 5 c G U + P E l 0 Z W 1 Q Y X R o P l N l Y 3 R p b 2 4 x L 0 t E T S 9 B Y W 5 n Z X B h c 3 Q l M j B p d G V t J T I w d G 9 l Z 2 V 2 b 2 V n Z C U y M D I 8 L 0 l 0 Z W 1 Q Y X R o P j w v S X R l b U x v Y 2 F 0 a W 9 u P j x T d G F i b G V F b n R y a W V z I C 8 + P C 9 J d G V t P j x J d G V t P j x J d G V t T G 9 j Y X R p b 2 4 + P E l 0 Z W 1 U e X B l P k Z v c m 1 1 b G E 8 L 0 l 0 Z W 1 U e X B l P j x J d G V t U G F 0 a D 5 T Z W N 0 a W 9 u M S 9 L R E 0 v Q W F u Z 2 V w Y X N 0 J T I w a X R l b S U y M H R v Z W d l d m 9 l Z 2 Q l M j A z P C 9 J d G V t U G F 0 a D 4 8 L 0 l 0 Z W 1 M b 2 N h d G l v b j 4 8 U 3 R h Y m x l R W 5 0 c m l l c y A v P j w v S X R l b T 4 8 S X R l b T 4 8 S X R l b U x v Y 2 F 0 a W 9 u P j x J d G V t V H l w Z T 5 G b 3 J t d W x h P C 9 J d G V t V H l w Z T 4 8 S X R l b V B h d G g + U 2 V j d G l v b j E v S 0 R N L 0 F h b m d l c G F z d C U y M G l 0 Z W 0 l M j B 0 b 2 V n Z X Z v Z W d k J T I w N D w v S X R l b V B h d G g + P C 9 J d G V t T G 9 j Y X R p b 2 4 + P F N 0 Y W J s Z U V u d H J p Z X M g L z 4 8 L 0 l 0 Z W 0 + P E l 0 Z W 0 + P E l 0 Z W 1 M b 2 N h d G l v b j 4 8 S X R l b V R 5 c G U + R m 9 y b X V s Y T w v S X R l b V R 5 c G U + P E l 0 Z W 1 Q Y X R o P l N l Y 3 R p b 2 4 x L 0 t E T S 9 L b 2 x v b W 1 l b i U y M H Z l c n d p a m R l c m Q l M j A y P C 9 J d G V t U G F 0 a D 4 8 L 0 l 0 Z W 1 M b 2 N h d G l v b j 4 8 U 3 R h Y m x l R W 5 0 c m l l c y A v P j w v S X R l b T 4 8 S X R l b T 4 8 S X R l b U x v Y 2 F 0 a W 9 u P j x J d G V t V H l w Z T 5 G b 3 J t d W x h P C 9 J d G V t V H l w Z T 4 8 S X R l b V B h d G g + U 2 V j d G l v b j E v S 0 R N L 0 5 h b W V u J T I w d m F u J T I w a 2 9 s b 2 1 t Z W 4 l M j B n Z X d p a n p p Z 2 Q l M j A 4 P C 9 J d G V t U G F 0 a D 4 8 L 0 l 0 Z W 1 M b 2 N h d G l v b j 4 8 U 3 R h Y m x l R W 5 0 c m l l c y A v P j w v S X R l b T 4 8 S X R l b T 4 8 S X R l b U x v Y 2 F 0 a W 9 u P j x J d G V t V H l w Z T 5 G b 3 J t d W x h P C 9 J d G V t V H l w Z T 4 8 S X R l b V B h d G g + U 2 V j d G l v b j E v S 0 R N L 1 d h Y X J k Z S U y M G l z J T I w d m V y d m F u Z 2 V u P C 9 J d G V t U G F 0 a D 4 8 L 0 l 0 Z W 1 M b 2 N h d G l v b j 4 8 U 3 R h Y m x l R W 5 0 c m l l c y A v P j w v S X R l b T 4 8 S X R l b T 4 8 S X R l b U x v Y 2 F 0 a W 9 u P j x J d G V t V H l w Z T 5 G b 3 J t d W x h P C 9 J d G V t V H l w Z T 4 8 S X R l b V B h d G g + U 2 V j d G l v b j E v S 0 R N L 1 d h Y X J k Z S U y M G l z J T I w d m V y d m F u Z 2 V u J T I w O T w v S X R l b V B h d G g + P C 9 J d G V t T G 9 j Y X R p b 2 4 + P F N 0 Y W J s Z U V u d H J p Z X M g L z 4 8 L 0 l 0 Z W 0 + P E l 0 Z W 0 + P E l 0 Z W 1 M b 2 N h d G l v b j 4 8 S X R l b V R 5 c G U + R m 9 y b X V s Y T w v S X R l b V R 5 c G U + P E l 0 Z W 1 Q Y X R o P l N l Y 3 R p b 2 4 x L 0 t E T S 9 L b 2 x v b S U y M H N w b G l 0 c 2 V u J T I w b 3 A l M j B z Y 2 h l a W R p b m d z d G V r Z W 4 8 L 0 l 0 Z W 1 Q Y X R o P j w v S X R l b U x v Y 2 F 0 a W 9 u P j x T d G F i b G V F b n R y a W V z I C 8 + P C 9 J d G V t P j x J d G V t P j x J d G V t T G 9 j Y X R p b 2 4 + P E l 0 Z W 1 U e X B l P k Z v c m 1 1 b G E 8 L 0 l 0 Z W 1 U e X B l P j x J d G V t U G F 0 a D 5 T Z W N 0 a W 9 u M S 9 L R E 0 v V 2 F h c m R l J T I w a X M l M j B 2 Z X J 2 Y W 5 n Z W 4 l M j A x P C 9 J d G V t U G F 0 a D 4 8 L 0 l 0 Z W 1 M b 2 N h d G l v b j 4 8 U 3 R h Y m x l R W 5 0 c m l l c y A v P j w v S X R l b T 4 8 S X R l b T 4 8 S X R l b U x v Y 2 F 0 a W 9 u P j x J d G V t V H l w Z T 5 G b 3 J t d W x h P C 9 J d G V t V H l w Z T 4 8 S X R l b V B h d G g + U 2 V j d G l v b j E v S 0 R N L 1 d h Y X J k Z S U y M G l z J T I w d m V y d m F u Z 2 V u J T I w M j w v S X R l b V B h d G g + P C 9 J d G V t T G 9 j Y X R p b 2 4 + P F N 0 Y W J s Z U V u d H J p Z X M g L z 4 8 L 0 l 0 Z W 0 + P E l 0 Z W 0 + P E l 0 Z W 1 M b 2 N h d G l v b j 4 8 S X R l b V R 5 c G U + R m 9 y b X V s Y T w v S X R l b V R 5 c G U + P E l 0 Z W 1 Q Y X R o P l N l Y 3 R p b 2 4 x L 0 t E T S 9 O Y W 1 l b i U y M H Z h b i U y M G t v b G 9 t b W V u J T I w Z 2 V 3 a W p 6 a W d k P C 9 J d G V t U G F 0 a D 4 8 L 0 l 0 Z W 1 M b 2 N h d G l v b j 4 8 U 3 R h Y m x l R W 5 0 c m l l c y A v P j w v S X R l b T 4 8 S X R l b T 4 8 S X R l b U x v Y 2 F 0 a W 9 u P j x J d G V t V H l w Z T 5 G b 3 J t d W x h P C 9 J d G V t V H l w Z T 4 8 S X R l b V B h d G g + U 2 V j d G l v b j E v S 0 R N L 0 5 h b W V u J T I w d m F u J T I w a 2 9 s b 2 1 t Z W 4 l M j B n Z X d p a n p p Z 2 Q l M j A z P C 9 J d G V t U G F 0 a D 4 8 L 0 l 0 Z W 1 M b 2 N h d G l v b j 4 8 U 3 R h Y m x l R W 5 0 c m l l c y A v P j w v S X R l b T 4 8 S X R l b T 4 8 S X R l b U x v Y 2 F 0 a W 9 u P j x J d G V t V H l w Z T 5 G b 3 J t d W x h P C 9 J d G V t V H l w Z T 4 8 S X R l b V B h d G g + U 2 V j d G l v b j E v S 0 R N L 1 d h Y X J k Z S U y M G l z J T I w d m V y d m F u Z 2 V u J T I w M z w v S X R l b V B h d G g + P C 9 J d G V t T G 9 j Y X R p b 2 4 + P F N 0 Y W J s Z U V u d H J p Z X M g L z 4 8 L 0 l 0 Z W 0 + P E l 0 Z W 0 + P E l 0 Z W 1 M b 2 N h d G l v b j 4 8 S X R l b V R 5 c G U + R m 9 y b X V s Y T w v S X R l b V R 5 c G U + P E l 0 Z W 1 Q Y X R o P l N l Y 3 R p b 2 4 x L 0 t E T S 9 X Y W F y Z G U l M j B p c y U y M H Z l c n Z h b m d l b i U y M D Q 8 L 0 l 0 Z W 1 Q Y X R o P j w v S X R l b U x v Y 2 F 0 a W 9 u P j x T d G F i b G V F b n R y a W V z I C 8 + P C 9 J d G V t P j x J d G V t P j x J d G V t T G 9 j Y X R p b 2 4 + P E l 0 Z W 1 U e X B l P k Z v c m 1 1 b G E 8 L 0 l 0 Z W 1 U e X B l P j x J d G V t U G F 0 a D 5 T Z W N 0 a W 9 u M S 9 L R E 0 v T m F t Z W 4 l M j B 2 Y W 4 l M j B r b 2 x v b W 1 l b i U y M G d l d 2 l q e m l n Z C U y M D Q 8 L 0 l 0 Z W 1 Q Y X R o P j w v S X R l b U x v Y 2 F 0 a W 9 u P j x T d G F i b G V F b n R y a W V z I C 8 + P C 9 J d G V t P j x J d G V t P j x J d G V t T G 9 j Y X R p b 2 4 + P E l 0 Z W 1 U e X B l P k Z v c m 1 1 b G E 8 L 0 l 0 Z W 1 U e X B l P j x J d G V t U G F 0 a D 5 T Z W N 0 a W 9 u M S 9 L R E 0 v T m F t Z W 4 l M j B 2 Y W 4 l M j B r b 2 x v b W 1 l b i U y M G d l d 2 l q e m l n Z C U y M D U 8 L 0 l 0 Z W 1 Q Y X R o P j w v S X R l b U x v Y 2 F 0 a W 9 u P j x T d G F i b G V F b n R y a W V z I C 8 + P C 9 J d G V t P j x J d G V t P j x J d G V t T G 9 j Y X R p b 2 4 + P E l 0 Z W 1 U e X B l P k Z v c m 1 1 b G E 8 L 0 l 0 Z W 1 U e X B l P j x J d G V t U G F 0 a D 5 T Z W N 0 a W 9 u M S 9 L R E 0 v S 2 9 s b 2 1 t Z W 4 l M j B z Y W 1 l b m d l d m 9 l Z 2 Q 8 L 0 l 0 Z W 1 Q Y X R o P j w v S X R l b U x v Y 2 F 0 a W 9 u P j x T d G F i b G V F b n R y a W V z I C 8 + P C 9 J d G V t P j x J d G V t P j x J d G V t T G 9 j Y X R p b 2 4 + P E l 0 Z W 1 U e X B l P k Z v c m 1 1 b G E 8 L 0 l 0 Z W 1 U e X B l P j x J d G V t U G F 0 a D 5 T Z W N 0 a W 9 u M S 9 L R E 0 v S 2 9 s b 2 1 t Z W 4 l M j B z Y W 1 l b m d l d m 9 l Z 2 Q l M j A x P C 9 J d G V t U G F 0 a D 4 8 L 0 l 0 Z W 1 M b 2 N h d G l v b j 4 8 U 3 R h Y m x l R W 5 0 c m l l c y A v P j w v S X R l b T 4 8 S X R l b T 4 8 S X R l b U x v Y 2 F 0 a W 9 u P j x J d G V t V H l w Z T 5 G b 3 J t d W x h P C 9 J d G V t V H l w Z T 4 8 S X R l b V B h d G g + U 2 V j d G l v b j E v S 0 R N L 0 t v b G 9 t b W V u J T I w c 2 F t Z W 5 n Z X Z v Z W d k J T I w M j w v S X R l b V B h d G g + P C 9 J d G V t T G 9 j Y X R p b 2 4 + P F N 0 Y W J s Z U V u d H J p Z X M g L z 4 8 L 0 l 0 Z W 0 + P E l 0 Z W 0 + P E l 0 Z W 1 M b 2 N h d G l v b j 4 8 S X R l b V R 5 c G U + R m 9 y b X V s Y T w v S X R l b V R 5 c G U + P E l 0 Z W 1 Q Y X R o P l N l Y 3 R p b 2 4 x L 0 t E T S 9 O Y W 1 l b i U y M H Z h b i U y M G t v b G 9 t b W V u J T I w Z 2 V 3 a W p 6 a W d k J T I w N j w v S X R l b V B h d G g + P C 9 J d G V t T G 9 j Y X R p b 2 4 + P F N 0 Y W J s Z U V u d H J p Z X M g L z 4 8 L 0 l 0 Z W 0 + P E l 0 Z W 0 + P E l 0 Z W 1 M b 2 N h d G l v b j 4 8 S X R l b V R 5 c G U + R m 9 y b X V s Y T w v S X R l b V R 5 c G U + P E l 0 Z W 1 Q Y X R o P l N l Y 3 R p b 2 4 x L 0 t E T S 9 O Y W 1 l b i U y M H Z h b i U y M G t v b G 9 t b W V u J T I w Z 2 V 3 a W p 6 a W d k J T I w N z w v S X R l b V B h d G g + P C 9 J d G V t T G 9 j Y X R p b 2 4 + P F N 0 Y W J s Z U V u d H J p Z X M g L z 4 8 L 0 l 0 Z W 0 + P E l 0 Z W 0 + P E l 0 Z W 1 M b 2 N h d G l v b j 4 8 S X R l b V R 5 c G U + R m 9 y b X V s Y T w v S X R l b V R 5 c G U + P E l 0 Z W 1 Q Y X R o P l N l Y 3 R p b 2 4 x L 0 t E T S 9 X Y W F y Z G U l M j B p c y U y M H Z l c n Z h b m d l b i U y M D c 8 L 0 l 0 Z W 1 Q Y X R o P j w v S X R l b U x v Y 2 F 0 a W 9 u P j x T d G F i b G V F b n R y a W V z I C 8 + P C 9 J d G V t P j x J d G V t P j x J d G V t T G 9 j Y X R p b 2 4 + P E l 0 Z W 1 U e X B l P k Z v c m 1 1 b G E 8 L 0 l 0 Z W 1 U e X B l P j x J d G V t U G F 0 a D 5 T Z W N 0 a W 9 u M S 9 L R E 0 v V 2 F h c m R l J T I w a X M l M j B 2 Z X J 2 Y W 5 n Z W 4 l M j A 4 P C 9 J d G V t U G F 0 a D 4 8 L 0 l 0 Z W 1 M b 2 N h d G l v b j 4 8 U 3 R h Y m x l R W 5 0 c m l l c y A v P j w v S X R l b T 4 8 S X R l b T 4 8 S X R l b U x v Y 2 F 0 a W 9 u P j x J d G V t V H l w Z T 5 G b 3 J t d W x h P C 9 J d G V t V H l w Z T 4 8 S X R l b V B h d G g + U 2 V j d G l v b j E v S 0 R N L 1 Z v b G d v c m R l J T I w d m F u J T I w a 2 9 s b 2 1 t Z W 4 l M j B n Z X d p a n p p Z 2 Q 8 L 0 l 0 Z W 1 Q Y X R o P j w v S X R l b U x v Y 2 F 0 a W 9 u P j x T d G F i b G V F b n R y a W V z I C 8 + P C 9 J d G V t P j x J d G V t P j x J d G V t T G 9 j Y X R p b 2 4 + P E l 0 Z W 1 U e X B l P k Z v c m 1 1 b G E 8 L 0 l 0 Z W 1 U e X B l P j x J d G V t U G F 0 a D 5 T Z W N 0 a W 9 u M S 9 L R E 0 v T m F t Z W 4 l M j B 2 Y W 4 l M j B r b 2 x v b W 1 l b i U y M G d l d 2 l q e m l n Z C U y M D k 8 L 0 l 0 Z W 1 Q Y X R o P j w v S X R l b U x v Y 2 F 0 a W 9 u P j x T d G F i b G V F b n R y a W V z I C 8 + P C 9 J d G V t P j x J d G V t P j x J d G V t T G 9 j Y X R p b 2 4 + P E l 0 Z W 1 U e X B l P k Z v c m 1 1 b G E 8 L 0 l 0 Z W 1 U e X B l P j x J d G V t U G F 0 a D 5 T Z W N 0 a W 9 u M S 9 L R E 0 v R 2 V z b 3 J 0 Z W V y Z G U l M j B y a W p l b j w v S X R l b V B h d G g + P C 9 J d G V t T G 9 j Y X R p b 2 4 + P F N 0 Y W J s Z U V u d H J p Z X M g L z 4 8 L 0 l 0 Z W 0 + P E l 0 Z W 0 + P E l 0 Z W 1 M b 2 N h d G l v b j 4 8 S X R l b V R 5 c G U + R m 9 y b X V s Y T w v S X R l b V R 5 c G U + P E l 0 Z W 1 Q Y X R o P l N l Y 3 R p b 2 4 x L 0 t E T S 9 I Z X Q l M j B r b 2 x v b X R 5 c G U l M j B p c y U y M G d l d 2 l q e m l n Z C U y M D E 8 L 0 l 0 Z W 1 Q Y X R o P j w v S X R l b U x v Y 2 F 0 a W 9 u P j x T d G F i b G V F b n R y a W V z I C 8 + P C 9 J d G V t P j x J d G V t P j x J d G V t T G 9 j Y X R p b 2 4 + P E l 0 Z W 1 U e X B l P k Z v c m 1 1 b G E 8 L 0 l 0 Z W 1 U e X B l P j x J d G V t U G F 0 a D 5 T Z W N 0 a W 9 u M S 9 L R F J 2 T k I v S G V 0 J T I w a 2 9 s b 2 1 0 e X B l J T I w a X M l M j B n Z X d p a n p p Z 2 Q 8 L 0 l 0 Z W 1 Q Y X R o P j w v S X R l b U x v Y 2 F 0 a W 9 u P j x T d G F i b G V F b n R y a W V z I C 8 + P C 9 J d G V t P j x J d G V t P j x J d G V t T G 9 j Y X R p b 2 4 + P E l 0 Z W 1 U e X B l P k Z v c m 1 1 b G E 8 L 0 l 0 Z W 1 U e X B l P j x J d G V t U G F 0 a D 5 T Z W N 0 a W 9 u M S 9 L R F J 2 T k I v Q W F u Z 2 V w Y X N 0 J T I w a X R l b S U y M H R v Z W d l d m 9 l Z 2 Q 8 L 0 l 0 Z W 1 Q Y X R o P j w v S X R l b U x v Y 2 F 0 a W 9 u P j x T d G F i b G V F b n R y a W V z I C 8 + P C 9 J d G V t P j x J d G V t P j x J d G V t T G 9 j Y X R p b 2 4 + P E l 0 Z W 1 U e X B l P k Z v c m 1 1 b G E 8 L 0 l 0 Z W 1 U e X B l P j x J d G V t U G F 0 a D 5 T Z W N 0 a W 9 u M S 9 L R F J 2 T k I v V m 9 v c n d h Y X J k Z W x p a m t l J T I w a 2 9 s b 2 0 l M j B p b m d l d m 9 l Z 2 Q 8 L 0 l 0 Z W 1 Q Y X R o P j w v S X R l b U x v Y 2 F 0 a W 9 u P j x T d G F i b G V F b n R y a W V z I C 8 + P C 9 J d G V t P j x J d G V t P j x J d G V t T G 9 j Y X R p b 2 4 + P E l 0 Z W 1 U e X B l P k Z v c m 1 1 b G E 8 L 0 l 0 Z W 1 U e X B l P j x J d G V t U G F 0 a D 5 T Z W N 0 a W 9 u M S 9 L R F J 2 T k I v Q W F u Z 2 V w Y X N 0 J T I w a X R l b S U y M H R v Z W d l d m 9 l Z 2 Q x P C 9 J d G V t U G F 0 a D 4 8 L 0 l 0 Z W 1 M b 2 N h d G l v b j 4 8 U 3 R h Y m x l R W 5 0 c m l l c y A v P j w v S X R l b T 4 8 S X R l b T 4 8 S X R l b U x v Y 2 F 0 a W 9 u P j x J d G V t V H l w Z T 5 G b 3 J t d W x h P C 9 J d G V t V H l w Z T 4 8 S X R l b V B h d G g + U 2 V j d G l v b j E v S 0 R S d k 5 C L 1 Z v b 3 J 3 Y W F y Z G V s a W p r Z S U y M G t v b G 9 t J T I w a W 5 n Z X Z v Z W d k M T w v S X R l b V B h d G g + P C 9 J d G V t T G 9 j Y X R p b 2 4 + P F N 0 Y W J s Z U V u d H J p Z X M g L z 4 8 L 0 l 0 Z W 0 + P E l 0 Z W 0 + P E l 0 Z W 1 M b 2 N h d G l v b j 4 8 S X R l b V R 5 c G U + R m 9 y b X V s Y T w v S X R l b V R 5 c G U + P E l 0 Z W 1 Q Y X R o P l N l Y 3 R p b 2 4 x L 0 t E U n Z O Q i 9 B Y W 5 n Z X B h c 3 Q l M j B p d G V t J T I w d G 9 l Z 2 V 2 b 2 V n Z D I 8 L 0 l 0 Z W 1 Q Y X R o P j w v S X R l b U x v Y 2 F 0 a W 9 u P j x T d G F i b G V F b n R y a W V z I C 8 + P C 9 J d G V t P j x J d G V t P j x J d G V t T G 9 j Y X R p b 2 4 + P E l 0 Z W 1 U e X B l P k Z v c m 1 1 b G E 8 L 0 l 0 Z W 1 U e X B l P j x J d G V t U G F 0 a D 5 T Z W N 0 a W 9 u M S 9 L R F J 2 T k I v V m 9 v c n d h Y X J k Z W x p a m t l J T I w a 2 9 s b 2 0 l M j B p b m d l d m 9 l Z 2 Q y P C 9 J d G V t U G F 0 a D 4 8 L 0 l 0 Z W 1 M b 2 N h d G l v b j 4 8 U 3 R h Y m x l R W 5 0 c m l l c y A v P j w v S X R l b T 4 8 S X R l b T 4 8 S X R l b U x v Y 2 F 0 a W 9 u P j x J d G V t V H l w Z T 5 G b 3 J t d W x h P C 9 J d G V t V H l w Z T 4 8 S X R l b V B h d G g + U 2 V j d G l v b j E v S 0 R S d k 5 C L 0 F h b m d l c G F z d C U y M G l 0 Z W 0 l M j B 0 b 2 V n Z X Z v Z W d k M z w v S X R l b V B h d G g + P C 9 J d G V t T G 9 j Y X R p b 2 4 + P F N 0 Y W J s Z U V u d H J p Z X M g L z 4 8 L 0 l 0 Z W 0 + P E l 0 Z W 0 + P E l 0 Z W 1 M b 2 N h d G l v b j 4 8 S X R l b V R 5 c G U + R m 9 y b X V s Y T w v S X R l b V R 5 c G U + P E l 0 Z W 1 Q Y X R o P l N l Y 3 R p b 2 4 x L 0 t E U n Z O Q i 9 W b 2 9 y d 2 F h c m R l b G l q a 2 U l M j B r b 2 x v b S U y M G l u Z 2 V 2 b 2 V n Z D M 8 L 0 l 0 Z W 1 Q Y X R o P j w v S X R l b U x v Y 2 F 0 a W 9 u P j x T d G F i b G V F b n R y a W V z I C 8 + P C 9 J d G V t P j x J d G V t P j x J d G V t T G 9 j Y X R p b 2 4 + P E l 0 Z W 1 U e X B l P k Z v c m 1 1 b G E 8 L 0 l 0 Z W 1 U e X B l P j x J d G V t U G F 0 a D 5 T Z W N 0 a W 9 u M S 9 L R F J 2 T k I v Q W F u Z 2 V w Y X N 0 J T I w a X R l b S U y M H R v Z W d l d m 9 l Z 2 Q 0 P C 9 J d G V t U G F 0 a D 4 8 L 0 l 0 Z W 1 M b 2 N h d G l v b j 4 8 U 3 R h Y m x l R W 5 0 c m l l c y A v P j w v S X R l b T 4 8 S X R l b T 4 8 S X R l b U x v Y 2 F 0 a W 9 u P j x J d G V t V H l w Z T 5 G b 3 J t d W x h P C 9 J d G V t V H l w Z T 4 8 S X R l b V B h d G g + U 2 V j d G l v b j E v S 0 R S d k 5 C L 1 Z v b 3 J 3 Y W F y Z G V s a W p r Z S U y M G t v b G 9 t J T I w a W 5 n Z X Z v Z W d k N D w v S X R l b V B h d G g + P C 9 J d G V t T G 9 j Y X R p b 2 4 + P F N 0 Y W J s Z U V u d H J p Z X M g L z 4 8 L 0 l 0 Z W 0 + P E l 0 Z W 0 + P E l 0 Z W 1 M b 2 N h d G l v b j 4 8 S X R l b V R 5 c G U + R m 9 y b X V s Y T w v S X R l b V R 5 c G U + P E l 0 Z W 1 Q Y X R o P l N l Y 3 R p b 2 4 x L 0 t E U n Z O Q i 9 B Y W 5 n Z X B h c 3 Q l M j B p d G V t J T I w d G 9 l Z 2 V 2 b 2 V n Z D U 8 L 0 l 0 Z W 1 Q Y X R o P j w v S X R l b U x v Y 2 F 0 a W 9 u P j x T d G F i b G V F b n R y a W V z I C 8 + P C 9 J d G V t P j x J d G V t P j x J d G V t T G 9 j Y X R p b 2 4 + P E l 0 Z W 1 U e X B l P k Z v c m 1 1 b G E 8 L 0 l 0 Z W 1 U e X B l P j x J d G V t U G F 0 a D 5 T Z W N 0 a W 9 u M S 9 L R F J 2 T k I v V m 9 v c n d h Y X J k Z W x p a m t l J T I w a 2 9 s b 2 0 l M j B p b m d l d m 9 l Z 2 Q 1 P C 9 J d G V t U G F 0 a D 4 8 L 0 l 0 Z W 1 M b 2 N h d G l v b j 4 8 U 3 R h Y m x l R W 5 0 c m l l c y A v P j w v S X R l b T 4 8 S X R l b T 4 8 S X R l b U x v Y 2 F 0 a W 9 u P j x J d G V t V H l w Z T 5 G b 3 J t d W x h P C 9 J d G V t V H l w Z T 4 8 S X R l b V B h d G g + U 2 V j d G l v b j E v S 0 R S d k 5 C L 0 F h b m d l c G F z d C U y M G l 0 Z W 0 l M j B 0 b 2 V n Z X Z v Z W d k N j w v S X R l b V B h d G g + P C 9 J d G V t T G 9 j Y X R p b 2 4 + P F N 0 Y W J s Z U V u d H J p Z X M g L z 4 8 L 0 l 0 Z W 0 + P E l 0 Z W 0 + P E l 0 Z W 1 M b 2 N h d G l v b j 4 8 S X R l b V R 5 c G U + R m 9 y b X V s Y T w v S X R l b V R 5 c G U + P E l 0 Z W 1 Q Y X R o P l N l Y 3 R p b 2 4 x L 0 t E U n Z O Q i 9 W b 2 9 y d 2 F h c m R l b G l q a 2 U l M j B r b 2 x v b S U y M G l u Z 2 V 2 b 2 V n Z D Y 8 L 0 l 0 Z W 1 Q Y X R o P j w v S X R l b U x v Y 2 F 0 a W 9 u P j x T d G F i b G V F b n R y a W V z I C 8 + P C 9 J d G V t P j x J d G V t P j x J d G V t T G 9 j Y X R p b 2 4 + P E l 0 Z W 1 U e X B l P k Z v c m 1 1 b G E 8 L 0 l 0 Z W 1 U e X B l P j x J d G V t U G F 0 a D 5 T Z W N 0 a W 9 u M S 9 L R F J 2 T k I v Q W F u Z 2 V w Y X N 0 J T I w a X R l b S U y M H R v Z W d l d m 9 l Z 2 Q 3 P C 9 J d G V t U G F 0 a D 4 8 L 0 l 0 Z W 1 M b 2 N h d G l v b j 4 8 U 3 R h Y m x l R W 5 0 c m l l c y A v P j w v S X R l b T 4 8 S X R l b T 4 8 S X R l b U x v Y 2 F 0 a W 9 u P j x J d G V t V H l w Z T 5 G b 3 J t d W x h P C 9 J d G V t V H l w Z T 4 8 S X R l b V B h d G g + U 2 V j d G l v b j E v S 0 R S d k 5 C L 1 Z v b 3 J 3 Y W F y Z G V s a W p r Z S U y M G t v b G 9 t J T I w a W 5 n Z X Z v Z W d k N z w v S X R l b V B h d G g + P C 9 J d G V t T G 9 j Y X R p b 2 4 + P F N 0 Y W J s Z U V u d H J p Z X M g L z 4 8 L 0 l 0 Z W 0 + P E l 0 Z W 0 + P E l 0 Z W 1 M b 2 N h d G l v b j 4 8 S X R l b V R 5 c G U + R m 9 y b X V s Y T w v S X R l b V R 5 c G U + P E l 0 Z W 1 Q Y X R o P l N l Y 3 R p b 2 4 x L 0 t E U n Z O Q i 9 B Y W 5 n Z X B h c 3 Q l M j B p d G V t J T I w d G 9 l Z 2 V 2 b 2 V n Z D g 8 L 0 l 0 Z W 1 Q Y X R o P j w v S X R l b U x v Y 2 F 0 a W 9 u P j x T d G F i b G V F b n R y a W V z I C 8 + P C 9 J d G V t P j x J d G V t P j x J d G V t T G 9 j Y X R p b 2 4 + P E l 0 Z W 1 U e X B l P k Z v c m 1 1 b G E 8 L 0 l 0 Z W 1 U e X B l P j x J d G V t U G F 0 a D 5 T Z W N 0 a W 9 u M S 9 L R F J 2 T k I v V m 9 v c n d h Y X J k Z W x p a m t l J T I w a 2 9 s b 2 0 l M j B p b m d l d m 9 l Z 2 Q 4 P C 9 J d G V t U G F 0 a D 4 8 L 0 l 0 Z W 1 M b 2 N h d G l v b j 4 8 U 3 R h Y m x l R W 5 0 c m l l c y A v P j w v S X R l b T 4 8 S X R l b T 4 8 S X R l b U x v Y 2 F 0 a W 9 u P j x J d G V t V H l w Z T 5 G b 3 J t d W x h P C 9 J d G V t V H l w Z T 4 8 S X R l b V B h d G g + U 2 V j d G l v b j E v S 0 R S d k 5 C L 0 F h b m d l c G F z d C U y M G l 0 Z W 0 l M j B 0 b 2 V n Z X Z v Z W d k O T w v S X R l b V B h d G g + P C 9 J d G V t T G 9 j Y X R p b 2 4 + P F N 0 Y W J s Z U V u d H J p Z X M g L z 4 8 L 0 l 0 Z W 0 + P E l 0 Z W 0 + P E l 0 Z W 1 M b 2 N h d G l v b j 4 8 S X R l b V R 5 c G U + R m 9 y b X V s Y T w v S X R l b V R 5 c G U + P E l 0 Z W 1 Q Y X R o P l N l Y 3 R p b 2 4 x L 0 t E U n Z O Q i 9 W b 2 9 y d 2 F h c m R l b G l q a 2 U l M j B r b 2 x v b S U y M G l u Z 2 V 2 b 2 V n Z D k 8 L 0 l 0 Z W 1 Q Y X R o P j w v S X R l b U x v Y 2 F 0 a W 9 u P j x T d G F i b G V F b n R y a W V z I C 8 + P C 9 J d G V t P j x J d G V t P j x J d G V t T G 9 j Y X R p b 2 4 + P E l 0 Z W 1 U e X B l P k Z v c m 1 1 b G E 8 L 0 l 0 Z W 1 U e X B l P j x J d G V t U G F 0 a D 5 T Z W N 0 a W 9 u M S 9 L R F J 2 T k I v Q W F u Z 2 V w Y X N 0 J T I w a X R l b S U y M H R v Z W d l d m 9 l Z 2 Q x M D w v S X R l b V B h d G g + P C 9 J d G V t T G 9 j Y X R p b 2 4 + P F N 0 Y W J s Z U V u d H J p Z X M g L z 4 8 L 0 l 0 Z W 0 + P E l 0 Z W 0 + P E l 0 Z W 1 M b 2 N h d G l v b j 4 8 S X R l b V R 5 c G U + R m 9 y b X V s Y T w v S X R l b V R 5 c G U + P E l 0 Z W 1 Q Y X R o P l N l Y 3 R p b 2 4 x L 0 t E U n Z O Q i 9 W b 2 9 y d 2 F h c m R l b G l q a 2 U l M j B r b 2 x v b S U y M G l u Z 2 V 2 b 2 V n Z D E w P C 9 J d G V t U G F 0 a D 4 8 L 0 l 0 Z W 1 M b 2 N h d G l v b j 4 8 U 3 R h Y m x l R W 5 0 c m l l c y A v P j w v S X R l b T 4 8 S X R l b T 4 8 S X R l b U x v Y 2 F 0 a W 9 u P j x J d G V t V H l w Z T 5 G b 3 J t d W x h P C 9 J d G V t V H l w Z T 4 8 S X R l b V B h d G g + U 2 V j d G l v b j E v S 0 R S d k 5 C L 0 F h b m d l c G F z d C U y M G l 0 Z W 0 l M j B 0 b 2 V n Z X Z v Z W d k M T E 8 L 0 l 0 Z W 1 Q Y X R o P j w v S X R l b U x v Y 2 F 0 a W 9 u P j x T d G F i b G V F b n R y a W V z I C 8 + P C 9 J d G V t P j x J d G V t P j x J d G V t T G 9 j Y X R p b 2 4 + P E l 0 Z W 1 U e X B l P k Z v c m 1 1 b G E 8 L 0 l 0 Z W 1 U e X B l P j x J d G V t U G F 0 a D 5 T Z W N 0 a W 9 u M S 9 L R F J 2 T k I v V m 9 v c n d h Y X J k Z W x p a m t l J T I w a 2 9 s b 2 0 l M j B p b m d l d m 9 l Z 2 Q x M T w v S X R l b V B h d G g + P C 9 J d G V t T G 9 j Y X R p b 2 4 + P F N 0 Y W J s Z U V u d H J p Z X M g L z 4 8 L 0 l 0 Z W 0 + P E l 0 Z W 0 + P E l 0 Z W 1 M b 2 N h d G l v b j 4 8 S X R l b V R 5 c G U + R m 9 y b X V s Y T w v S X R l b V R 5 c G U + P E l 0 Z W 1 Q Y X R o P l N l Y 3 R p b 2 4 x L 0 t E U n Z O Q i 9 B Y W 5 n Z X B h c 3 Q l M j B p d G V t J T I w d G 9 l Z 2 V 2 b 2 V n Z D E y P C 9 J d G V t U G F 0 a D 4 8 L 0 l 0 Z W 1 M b 2 N h d G l v b j 4 8 U 3 R h Y m x l R W 5 0 c m l l c y A v P j w v S X R l b T 4 8 S X R l b T 4 8 S X R l b U x v Y 2 F 0 a W 9 u P j x J d G V t V H l w Z T 5 G b 3 J t d W x h P C 9 J d G V t V H l w Z T 4 8 S X R l b V B h d G g + U 2 V j d G l v b j E v S 0 R S d k 5 C L 1 Z v b 3 J 3 Y W F y Z G V s a W p r Z S U y M G t v b G 9 t J T I w a W 5 n Z X Z v Z W d k M T I 8 L 0 l 0 Z W 1 Q Y X R o P j w v S X R l b U x v Y 2 F 0 a W 9 u P j x T d G F i b G V F b n R y a W V z I C 8 + P C 9 J d G V t P j x J d G V t P j x J d G V t T G 9 j Y X R p b 2 4 + P E l 0 Z W 1 U e X B l P k Z v c m 1 1 b G E 8 L 0 l 0 Z W 1 U e X B l P j x J d G V t U G F 0 a D 5 T Z W N 0 a W 9 u M S 9 L R F J 2 T k I v Q W F u Z 2 V w Y X N 0 J T I w a X R l b S U y M H R v Z W d l d m 9 l Z 2 Q x M z w v S X R l b V B h d G g + P C 9 J d G V t T G 9 j Y X R p b 2 4 + P F N 0 Y W J s Z U V u d H J p Z X M g L z 4 8 L 0 l 0 Z W 0 + P E l 0 Z W 0 + P E l 0 Z W 1 M b 2 N h d G l v b j 4 8 S X R l b V R 5 c G U + R m 9 y b X V s Y T w v S X R l b V R 5 c G U + P E l 0 Z W 1 Q Y X R o P l N l Y 3 R p b 2 4 x L 0 t E U n Z O Q i 9 W b 2 9 y d 2 F h c m R l b G l q a 2 U l M j B r b 2 x v b S U y M G l u Z 2 V 2 b 2 V n Z D E z P C 9 J d G V t U G F 0 a D 4 8 L 0 l 0 Z W 1 M b 2 N h d G l v b j 4 8 U 3 R h Y m x l R W 5 0 c m l l c y A v P j w v S X R l b T 4 8 S X R l b T 4 8 S X R l b U x v Y 2 F 0 a W 9 u P j x J d G V t V H l w Z T 5 G b 3 J t d W x h P C 9 J d G V t V H l w Z T 4 8 S X R l b V B h d G g + U 2 V j d G l v b j E v S 0 R S d k 5 C L 0 F h b m d l c G F z d C U y M G l 0 Z W 0 l M j B 0 b 2 V n Z X Z v Z W d k M T Q 8 L 0 l 0 Z W 1 Q Y X R o P j w v S X R l b U x v Y 2 F 0 a W 9 u P j x T d G F i b G V F b n R y a W V z I C 8 + P C 9 J d G V t P j x J d G V t P j x J d G V t T G 9 j Y X R p b 2 4 + P E l 0 Z W 1 U e X B l P k Z v c m 1 1 b G E 8 L 0 l 0 Z W 1 U e X B l P j x J d G V t U G F 0 a D 5 T Z W N 0 a W 9 u M S 9 L R F J 2 T k I v V m 9 v c n d h Y X J k Z W x p a m t l J T I w a 2 9 s b 2 0 l M j B p b m d l d m 9 l Z 2 Q x N D w v S X R l b V B h d G g + P C 9 J d G V t T G 9 j Y X R p b 2 4 + P F N 0 Y W J s Z U V u d H J p Z X M g L z 4 8 L 0 l 0 Z W 0 + P E l 0 Z W 0 + P E l 0 Z W 1 M b 2 N h d G l v b j 4 8 S X R l b V R 5 c G U + R m 9 y b X V s Y T w v S X R l b V R 5 c G U + P E l 0 Z W 1 Q Y X R o P l N l Y 3 R p b 2 4 x L 0 t E U n Z O Q i 9 B Y W 5 n Z X B h c 3 Q l M j B p d G V t J T I w d G 9 l Z 2 V 2 b 2 V n Z D E 1 P C 9 J d G V t U G F 0 a D 4 8 L 0 l 0 Z W 1 M b 2 N h d G l v b j 4 8 U 3 R h Y m x l R W 5 0 c m l l c y A v P j w v S X R l b T 4 8 S X R l b T 4 8 S X R l b U x v Y 2 F 0 a W 9 u P j x J d G V t V H l w Z T 5 G b 3 J t d W x h P C 9 J d G V t V H l w Z T 4 8 S X R l b V B h d G g + U 2 V j d G l v b j E v S 0 R S d k 5 C L 1 Z v b 3 J 3 Y W F y Z G V s a W p r Z S U y M G t v b G 9 t J T I w a W 5 n Z X Z v Z W d k M T U 8 L 0 l 0 Z W 1 Q Y X R o P j w v S X R l b U x v Y 2 F 0 a W 9 u P j x T d G F i b G V F b n R y a W V z I C 8 + P C 9 J d G V t P j x J d G V t P j x J d G V t T G 9 j Y X R p b 2 4 + P E l 0 Z W 1 U e X B l P k Z v c m 1 1 b G E 8 L 0 l 0 Z W 1 U e X B l P j x J d G V t U G F 0 a D 5 T Z W N 0 a W 9 u M S 9 L R F J 2 T k I v Q W F u Z 2 V w Y X N 0 J T I w a X R l b S U y M H R v Z W d l d m 9 l Z 2 Q x N j w v S X R l b V B h d G g + P C 9 J d G V t T G 9 j Y X R p b 2 4 + P F N 0 Y W J s Z U V u d H J p Z X M g L z 4 8 L 0 l 0 Z W 0 + P E l 0 Z W 0 + P E l 0 Z W 1 M b 2 N h d G l v b j 4 8 S X R l b V R 5 c G U + R m 9 y b X V s Y T w v S X R l b V R 5 c G U + P E l 0 Z W 1 Q Y X R o P l N l Y 3 R p b 2 4 x L 0 t E U n Z O Q i 9 W b 2 9 y d 2 F h c m R l b G l q a 2 U l M j B r b 2 x v b S U y M G l u Z 2 V 2 b 2 V n Z D E 2 P C 9 J d G V t U G F 0 a D 4 8 L 0 l 0 Z W 1 M b 2 N h d G l v b j 4 8 U 3 R h Y m x l R W 5 0 c m l l c y A v P j w v S X R l b T 4 8 S X R l b T 4 8 S X R l b U x v Y 2 F 0 a W 9 u P j x J d G V t V H l w Z T 5 G b 3 J t d W x h P C 9 J d G V t V H l w Z T 4 8 S X R l b V B h d G g + U 2 V j d G l v b j E v S 0 R S d k 5 C L 0 F h b m d l c G F z d C U y M G l 0 Z W 0 l M j B 0 b 2 V n Z X Z v Z W d k M T c 8 L 0 l 0 Z W 1 Q Y X R o P j w v S X R l b U x v Y 2 F 0 a W 9 u P j x T d G F i b G V F b n R y a W V z I C 8 + P C 9 J d G V t P j x J d G V t P j x J d G V t T G 9 j Y X R p b 2 4 + P E l 0 Z W 1 U e X B l P k Z v c m 1 1 b G E 8 L 0 l 0 Z W 1 U e X B l P j x J d G V t U G F 0 a D 5 T Z W N 0 a W 9 u M S 9 L R F J 2 T k I v V m 9 v c n d h Y X J k Z W x p a m t l J T I w a 2 9 s b 2 0 l M j B p b m d l d m 9 l Z 2 Q x N z w v S X R l b V B h d G g + P C 9 J d G V t T G 9 j Y X R p b 2 4 + P F N 0 Y W J s Z U V u d H J p Z X M g L z 4 8 L 0 l 0 Z W 0 + P E l 0 Z W 0 + P E l 0 Z W 1 M b 2 N h d G l v b j 4 8 S X R l b V R 5 c G U + R m 9 y b X V s Y T w v S X R l b V R 5 c G U + P E l 0 Z W 1 Q Y X R o P l N l Y 3 R p b 2 4 x L 0 t E U n Z O Q i 9 B Y W 5 n Z X B h c 3 Q l M j B p d G V t J T I w d G 9 l Z 2 V 2 b 2 V n Z D E 4 P C 9 J d G V t U G F 0 a D 4 8 L 0 l 0 Z W 1 M b 2 N h d G l v b j 4 8 U 3 R h Y m x l R W 5 0 c m l l c y A v P j w v S X R l b T 4 8 S X R l b T 4 8 S X R l b U x v Y 2 F 0 a W 9 u P j x J d G V t V H l w Z T 5 G b 3 J t d W x h P C 9 J d G V t V H l w Z T 4 8 S X R l b V B h d G g + U 2 V j d G l v b j E v S 0 R S d k 5 C L 1 Z v b 3 J 3 Y W F y Z G V s a W p r Z S U y M G t v b G 9 t J T I w a W 5 n Z X Z v Z W d k M T g 8 L 0 l 0 Z W 1 Q Y X R o P j w v S X R l b U x v Y 2 F 0 a W 9 u P j x T d G F i b G V F b n R y a W V z I C 8 + P C 9 J d G V t P j x J d G V t P j x J d G V t T G 9 j Y X R p b 2 4 + P E l 0 Z W 1 U e X B l P k Z v c m 1 1 b G E 8 L 0 l 0 Z W 1 U e X B l P j x J d G V t U G F 0 a D 5 T Z W N 0 a W 9 u M S 9 L R F J 2 T k I v Q W F u Z 2 V w Y X N 0 J T I w a X R l b S U y M H R v Z W d l d m 9 l Z 2 Q x O T w v S X R l b V B h d G g + P C 9 J d G V t T G 9 j Y X R p b 2 4 + P F N 0 Y W J s Z U V u d H J p Z X M g L z 4 8 L 0 l 0 Z W 0 + P E l 0 Z W 0 + P E l 0 Z W 1 M b 2 N h d G l v b j 4 8 S X R l b V R 5 c G U + R m 9 y b X V s Y T w v S X R l b V R 5 c G U + P E l 0 Z W 1 Q Y X R o P l N l Y 3 R p b 2 4 x L 0 t E U n Z O Q i 9 W b 2 9 y d 2 F h c m R l b G l q a 2 U l M j B r b 2 x v b S U y M G l u Z 2 V 2 b 2 V n Z D E 5 P C 9 J d G V t U G F 0 a D 4 8 L 0 l 0 Z W 1 M b 2 N h d G l v b j 4 8 U 3 R h Y m x l R W 5 0 c m l l c y A v P j w v S X R l b T 4 8 S X R l b T 4 8 S X R l b U x v Y 2 F 0 a W 9 u P j x J d G V t V H l w Z T 5 G b 3 J t d W x h P C 9 J d G V t V H l w Z T 4 8 S X R l b V B h d G g + U 2 V j d G l v b j E v S 0 R S d k 5 C L 0 F h b m d l c G F z d C U y M G l 0 Z W 0 l M j B 0 b 2 V n Z X Z v Z W d k M j A 8 L 0 l 0 Z W 1 Q Y X R o P j w v S X R l b U x v Y 2 F 0 a W 9 u P j x T d G F i b G V F b n R y a W V z I C 8 + P C 9 J d G V t P j x J d G V t P j x J d G V t T G 9 j Y X R p b 2 4 + P E l 0 Z W 1 U e X B l P k Z v c m 1 1 b G E 8 L 0 l 0 Z W 1 U e X B l P j x J d G V t U G F 0 a D 5 T Z W N 0 a W 9 u M S 9 L R F J 2 T k I v Q W F u Z 2 V w Y X N 0 J T I w a X R l b S U y M H R v Z W d l d m 9 l Z 2 Q y M T w v S X R l b V B h d G g + P C 9 J d G V t T G 9 j Y X R p b 2 4 + P F N 0 Y W J s Z U V u d H J p Z X M g L z 4 8 L 0 l 0 Z W 0 + P E l 0 Z W 0 + P E l 0 Z W 1 M b 2 N h d G l v b j 4 8 S X R l b V R 5 c G U + R m 9 y b X V s Y T w v S X R l b V R 5 c G U + P E l 0 Z W 1 Q Y X R o P l N l Y 3 R p b 2 4 x L 0 t E U n Z O Q i 9 B Y W 5 n Z X B h c 3 Q l M j B p d G V t J T I w d G 9 l Z 2 V 2 b 2 V n Z D I y P C 9 J d G V t U G F 0 a D 4 8 L 0 l 0 Z W 1 M b 2 N h d G l v b j 4 8 U 3 R h Y m x l R W 5 0 c m l l c y A v P j w v S X R l b T 4 8 S X R l b T 4 8 S X R l b U x v Y 2 F 0 a W 9 u P j x J d G V t V H l w Z T 5 G b 3 J t d W x h P C 9 J d G V t V H l w Z T 4 8 S X R l b V B h d G g + U 2 V j d G l v b j E v S 0 R S d k 5 C L 0 5 h b W V u J T I w d m F u J T I w a 2 9 s b 2 1 t Z W 4 l M j B n Z X d p a n p p Z 2 Q l M j A x P C 9 J d G V t U G F 0 a D 4 8 L 0 l 0 Z W 1 M b 2 N h d G l v b j 4 8 U 3 R h Y m x l R W 5 0 c m l l c y A v P j w v S X R l b T 4 8 S X R l b T 4 8 S X R l b U x v Y 2 F 0 a W 9 u P j x J d G V t V H l w Z T 5 G b 3 J t d W x h P C 9 J d G V t V H l w Z T 4 8 S X R l b V B h d G g + U 2 V j d G l v b j E v S 0 R S d k 5 C L 0 5 h b W V u J T I w d m F u J T I w a 2 9 s b 2 1 t Z W 4 l M j B n Z X d p a n p p Z 2 Q l M j A y P C 9 J d G V t U G F 0 a D 4 8 L 0 l 0 Z W 1 M b 2 N h d G l v b j 4 8 U 3 R h Y m x l R W 5 0 c m l l c y A v P j w v S X R l b T 4 8 S X R l b T 4 8 S X R l b U x v Y 2 F 0 a W 9 u P j x J d G V t V H l w Z T 5 G b 3 J t d W x h P C 9 J d G V t V H l w Z T 4 8 S X R l b V B h d G g + U 2 V j d G l v b j E v S 0 R S d k 5 C L 0 t v b G 9 t b W V u J T I w d m V y d 2 l q Z G V y Z C U y M D E 8 L 0 l 0 Z W 1 Q Y X R o P j w v S X R l b U x v Y 2 F 0 a W 9 u P j x T d G F i b G V F b n R y a W V z I C 8 + P C 9 J d G V t P j x J d G V t P j x J d G V t T G 9 j Y X R p b 2 4 + P E l 0 Z W 1 U e X B l P k Z v c m 1 1 b G E 8 L 0 l 0 Z W 1 U e X B l P j x J d G V t U G F 0 a D 5 T Z W N 0 a W 9 u M S 9 L R F J 2 T k I v Q W F u Z 2 V w Y X N 0 J T I w a X R l b S U y M H R v Z W d l d m 9 l Z 2 Q y O D w v S X R l b V B h d G g + P C 9 J d G V t T G 9 j Y X R p b 2 4 + P F N 0 Y W J s Z U V u d H J p Z X M g L z 4 8 L 0 l 0 Z W 0 + P E l 0 Z W 0 + P E l 0 Z W 1 M b 2 N h d G l v b j 4 8 S X R l b V R 5 c G U + R m 9 y b X V s Y T w v S X R l b V R 5 c G U + P E l 0 Z W 1 Q Y X R o P l N l Y 3 R p b 2 4 x L 0 t E U n Z O Q i 9 B Y W 5 n Z X B h c 3 Q l M j B p d G V t J T I w d G 9 l Z 2 V 2 b 2 V n Z D I 5 P C 9 J d G V t U G F 0 a D 4 8 L 0 l 0 Z W 1 M b 2 N h d G l v b j 4 8 U 3 R h Y m x l R W 5 0 c m l l c y A v P j w v S X R l b T 4 8 S X R l b T 4 8 S X R l b U x v Y 2 F 0 a W 9 u P j x J d G V t V H l w Z T 5 G b 3 J t d W x h P C 9 J d G V t V H l w Z T 4 8 S X R l b V B h d G g + U 2 V j d G l v b j E v S 0 R S d k 5 C L 0 F h b m d l c G F z d C U y M G l 0 Z W 0 l M j B 0 b 2 V n Z X Z v Z W d k M z A 8 L 0 l 0 Z W 1 Q Y X R o P j w v S X R l b U x v Y 2 F 0 a W 9 u P j x T d G F i b G V F b n R y a W V z I C 8 + P C 9 J d G V t P j x J d G V t P j x J d G V t T G 9 j Y X R p b 2 4 + P E l 0 Z W 1 U e X B l P k Z v c m 1 1 b G E 8 L 0 l 0 Z W 1 U e X B l P j x J d G V t U G F 0 a D 5 T Z W N 0 a W 9 u M S 9 L R F J 2 T k I v Q W F u Z 2 V w Y X N 0 J T I w a X R l b S U y M H R v Z W d l d m 9 l Z 2 Q z M T w v S X R l b V B h d G g + P C 9 J d G V t T G 9 j Y X R p b 2 4 + P F N 0 Y W J s Z U V u d H J p Z X M g L z 4 8 L 0 l 0 Z W 0 + P E l 0 Z W 0 + P E l 0 Z W 1 M b 2 N h d G l v b j 4 8 S X R l b V R 5 c G U + R m 9 y b X V s Y T w v S X R l b V R 5 c G U + P E l 0 Z W 1 Q Y X R o P l N l Y 3 R p b 2 4 x L 0 t E U n Z O Q i 9 B Y W 5 n Z X B h c 3 Q l M j B p d G V t J T I w d G 9 l Z 2 V 2 b 2 V n Z D M y P C 9 J d G V t U G F 0 a D 4 8 L 0 l 0 Z W 1 M b 2 N h d G l v b j 4 8 U 3 R h Y m x l R W 5 0 c m l l c y A v P j w v S X R l b T 4 8 S X R l b T 4 8 S X R l b U x v Y 2 F 0 a W 9 u P j x J d G V t V H l w Z T 5 G b 3 J t d W x h P C 9 J d G V t V H l w Z T 4 8 S X R l b V B h d G g + U 2 V j d G l v b j E v S 0 R S d k 5 C L 0 F h b m d l c G F z d C U y M G l 0 Z W 0 l M j B 0 b 2 V n Z X Z v Z W d k M z M 8 L 0 l 0 Z W 1 Q Y X R o P j w v S X R l b U x v Y 2 F 0 a W 9 u P j x T d G F i b G V F b n R y a W V z I C 8 + P C 9 J d G V t P j x J d G V t P j x J d G V t T G 9 j Y X R p b 2 4 + P E l 0 Z W 1 U e X B l P k Z v c m 1 1 b G E 8 L 0 l 0 Z W 1 U e X B l P j x J d G V t U G F 0 a D 5 T Z W N 0 a W 9 u M S 9 L R F J 2 T k I v Q W F u Z 2 V w Y X N 0 J T I w a X R l b S U y M H R v Z W d l d m 9 l Z 2 Q z N D w v S X R l b V B h d G g + P C 9 J d G V t T G 9 j Y X R p b 2 4 + P F N 0 Y W J s Z U V u d H J p Z X M g L z 4 8 L 0 l 0 Z W 0 + P E l 0 Z W 0 + P E l 0 Z W 1 M b 2 N h d G l v b j 4 8 S X R l b V R 5 c G U + R m 9 y b X V s Y T w v S X R l b V R 5 c G U + P E l 0 Z W 1 Q Y X R o P l N l Y 3 R p b 2 4 x L 0 t E U n Z O Q i 9 B Y W 5 n Z X B h c 3 Q l M j B p d G V t J T I w d G 9 l Z 2 V 2 b 2 V n Z D M 1 P C 9 J d G V t U G F 0 a D 4 8 L 0 l 0 Z W 1 M b 2 N h d G l v b j 4 8 U 3 R h Y m x l R W 5 0 c m l l c y A v P j w v S X R l b T 4 8 S X R l b T 4 8 S X R l b U x v Y 2 F 0 a W 9 u P j x J d G V t V H l w Z T 5 G b 3 J t d W x h P C 9 J d G V t V H l w Z T 4 8 S X R l b V B h d G g + U 2 V j d G l v b j E v S 0 R S d k 5 C L 0 F h b m d l c G F z d C U y M G l 0 Z W 0 l M j B 0 b 2 V n Z X Z v Z W d k M z Y 8 L 0 l 0 Z W 1 Q Y X R o P j w v S X R l b U x v Y 2 F 0 a W 9 u P j x T d G F i b G V F b n R y a W V z I C 8 + P C 9 J d G V t P j x J d G V t P j x J d G V t T G 9 j Y X R p b 2 4 + P E l 0 Z W 1 U e X B l P k Z v c m 1 1 b G E 8 L 0 l 0 Z W 1 U e X B l P j x J d G V t U G F 0 a D 5 T Z W N 0 a W 9 u M S 9 L R F J 2 T k I v Q W F u Z 2 V w Y X N 0 J T I w a X R l b S U y M H R v Z W d l d m 9 l Z 2 Q z N z w v S X R l b V B h d G g + P C 9 J d G V t T G 9 j Y X R p b 2 4 + P F N 0 Y W J s Z U V u d H J p Z X M g L z 4 8 L 0 l 0 Z W 0 + P E l 0 Z W 0 + P E l 0 Z W 1 M b 2 N h d G l v b j 4 8 S X R l b V R 5 c G U + R m 9 y b X V s Y T w v S X R l b V R 5 c G U + P E l 0 Z W 1 Q Y X R o P l N l Y 3 R p b 2 4 x L 0 t E U n Z O Q i 9 B Y W 5 n Z X B h c 3 Q l M j B p d G V t J T I w d G 9 l Z 2 V 2 b 2 V n Z D M 4 P C 9 J d G V t U G F 0 a D 4 8 L 0 l 0 Z W 1 M b 2 N h d G l v b j 4 8 U 3 R h Y m x l R W 5 0 c m l l c y A v P j w v S X R l b T 4 8 S X R l b T 4 8 S X R l b U x v Y 2 F 0 a W 9 u P j x J d G V t V H l w Z T 5 G b 3 J t d W x h P C 9 J d G V t V H l w Z T 4 8 S X R l b V B h d G g + U 2 V j d G l v b j E v S 0 R S d k 5 C L 0 F h b m d l c G F z d C U y M G l 0 Z W 0 l M j B 0 b 2 V n Z X Z v Z W d k M z k 8 L 0 l 0 Z W 1 Q Y X R o P j w v S X R l b U x v Y 2 F 0 a W 9 u P j x T d G F i b G V F b n R y a W V z I C 8 + P C 9 J d G V t P j x J d G V t P j x J d G V t T G 9 j Y X R p b 2 4 + P E l 0 Z W 1 U e X B l P k Z v c m 1 1 b G E 8 L 0 l 0 Z W 1 U e X B l P j x J d G V t U G F 0 a D 5 T Z W N 0 a W 9 u M S 9 L R F J 2 T k I v Q W F u Z 2 V w Y X N 0 J T I w a X R l b S U y M H R v Z W d l d m 9 l Z 2 Q 0 M D w v S X R l b V B h d G g + P C 9 J d G V t T G 9 j Y X R p b 2 4 + P F N 0 Y W J s Z U V u d H J p Z X M g L z 4 8 L 0 l 0 Z W 0 + P E l 0 Z W 0 + P E l 0 Z W 1 M b 2 N h d G l v b j 4 8 S X R l b V R 5 c G U + R m 9 y b X V s Y T w v S X R l b V R 5 c G U + P E l 0 Z W 1 Q Y X R o P l N l Y 3 R p b 2 4 x L 0 t E U n Z O Q i 9 B Y W 5 n Z X B h c 3 Q l M j B p d G V t J T I w d G 9 l Z 2 V 2 b 2 V n Z D Q x P C 9 J d G V t U G F 0 a D 4 8 L 0 l 0 Z W 1 M b 2 N h d G l v b j 4 8 U 3 R h Y m x l R W 5 0 c m l l c y A v P j w v S X R l b T 4 8 S X R l b T 4 8 S X R l b U x v Y 2 F 0 a W 9 u P j x J d G V t V H l w Z T 5 G b 3 J t d W x h P C 9 J d G V t V H l w Z T 4 8 S X R l b V B h d G g + U 2 V j d G l v b j E v S 0 R S d k 5 C L 0 F h b m d l c G F z d C U y M G l 0 Z W 0 l M j B 0 b 2 V n Z X Z v Z W d k N D I 8 L 0 l 0 Z W 1 Q Y X R o P j w v S X R l b U x v Y 2 F 0 a W 9 u P j x T d G F i b G V F b n R y a W V z I C 8 + P C 9 J d G V t P j x J d G V t P j x J d G V t T G 9 j Y X R p b 2 4 + P E l 0 Z W 1 U e X B l P k Z v c m 1 1 b G E 8 L 0 l 0 Z W 1 U e X B l P j x J d G V t U G F 0 a D 5 T Z W N 0 a W 9 u M S 9 L R F J 2 T k I v Q W F u Z 2 V w Y X N 0 J T I w a X R l b S U y M H R v Z W d l d m 9 l Z 2 Q 0 M z w v S X R l b V B h d G g + P C 9 J d G V t T G 9 j Y X R p b 2 4 + P F N 0 Y W J s Z U V u d H J p Z X M g L z 4 8 L 0 l 0 Z W 0 + P E l 0 Z W 0 + P E l 0 Z W 1 M b 2 N h d G l v b j 4 8 S X R l b V R 5 c G U + R m 9 y b X V s Y T w v S X R l b V R 5 c G U + P E l 0 Z W 1 Q Y X R o P l N l Y 3 R p b 2 4 x L 0 t E U n Z O Q i 9 B Y W 5 n Z X B h c 3 Q l M j B p d G V t J T I w d G 9 l Z 2 V 2 b 2 V n Z D Q 0 P C 9 J d G V t U G F 0 a D 4 8 L 0 l 0 Z W 1 M b 2 N h d G l v b j 4 8 U 3 R h Y m x l R W 5 0 c m l l c y A v P j w v S X R l b T 4 8 S X R l b T 4 8 S X R l b U x v Y 2 F 0 a W 9 u P j x J d G V t V H l w Z T 5 G b 3 J t d W x h P C 9 J d G V t V H l w Z T 4 8 S X R l b V B h d G g + U 2 V j d G l v b j E v S 0 R S d k 5 C L 0 F h b m d l c G F z d C U y M G l 0 Z W 0 l M j B 0 b 2 V n Z X Z v Z W d k N D U 8 L 0 l 0 Z W 1 Q Y X R o P j w v S X R l b U x v Y 2 F 0 a W 9 u P j x T d G F i b G V F b n R y a W V z I C 8 + P C 9 J d G V t P j x J d G V t P j x J d G V t T G 9 j Y X R p b 2 4 + P E l 0 Z W 1 U e X B l P k Z v c m 1 1 b G E 8 L 0 l 0 Z W 1 U e X B l P j x J d G V t U G F 0 a D 5 T Z W N 0 a W 9 u M S 9 L R F J 2 T k I v Q W F u Z 2 V w Y X N 0 J T I w a X R l b S U y M H R v Z W d l d m 9 l Z 2 Q 0 N j w v S X R l b V B h d G g + P C 9 J d G V t T G 9 j Y X R p b 2 4 + P F N 0 Y W J s Z U V u d H J p Z X M g L z 4 8 L 0 l 0 Z W 0 + P E l 0 Z W 0 + P E l 0 Z W 1 M b 2 N h d G l v b j 4 8 S X R l b V R 5 c G U + R m 9 y b X V s Y T w v S X R l b V R 5 c G U + P E l 0 Z W 1 Q Y X R o P l N l Y 3 R p b 2 4 x L 0 t E U n Z O Q i 9 B Y W 5 n Z X B h c 3 Q l M j B p d G V t J T I w d G 9 l Z 2 V 2 b 2 V n Z D Q 3 P C 9 J d G V t U G F 0 a D 4 8 L 0 l 0 Z W 1 M b 2 N h d G l v b j 4 8 U 3 R h Y m x l R W 5 0 c m l l c y A v P j w v S X R l b T 4 8 S X R l b T 4 8 S X R l b U x v Y 2 F 0 a W 9 u P j x J d G V t V H l w Z T 5 G b 3 J t d W x h P C 9 J d G V t V H l w Z T 4 8 S X R l b V B h d G g + U 2 V j d G l v b j E v S 0 R S d k 5 C L 0 F h b m d l c G F z d C U y M G l 0 Z W 0 l M j B 0 b 2 V n Z X Z v Z W d k N D g 8 L 0 l 0 Z W 1 Q Y X R o P j w v S X R l b U x v Y 2 F 0 a W 9 u P j x T d G F i b G V F b n R y a W V z I C 8 + P C 9 J d G V t P j x J d G V t P j x J d G V t T G 9 j Y X R p b 2 4 + P E l 0 Z W 1 U e X B l P k Z v c m 1 1 b G E 8 L 0 l 0 Z W 1 U e X B l P j x J d G V t U G F 0 a D 5 T Z W N 0 a W 9 u M S 9 L R F J 2 T k I v Q W F u Z 2 V w Y X N 0 J T I w a X R l b S U y M H R v Z W d l d m 9 l Z 2 Q 0 O T w v S X R l b V B h d G g + P C 9 J d G V t T G 9 j Y X R p b 2 4 + P F N 0 Y W J s Z U V u d H J p Z X M g L z 4 8 L 0 l 0 Z W 0 + P E l 0 Z W 0 + P E l 0 Z W 1 M b 2 N h d G l v b j 4 8 S X R l b V R 5 c G U + R m 9 y b X V s Y T w v S X R l b V R 5 c G U + P E l 0 Z W 1 Q Y X R o P l N l Y 3 R p b 2 4 x L 0 t E U n Z O Q i 9 B Y W 5 n Z X B h c 3 Q l M j B p d G V t J T I w d G 9 l Z 2 V 2 b 2 V n Z D U w P C 9 J d G V t U G F 0 a D 4 8 L 0 l 0 Z W 1 M b 2 N h d G l v b j 4 8 U 3 R h Y m x l R W 5 0 c m l l c y A v P j w v S X R l b T 4 8 S X R l b T 4 8 S X R l b U x v Y 2 F 0 a W 9 u P j x J d G V t V H l w Z T 5 G b 3 J t d W x h P C 9 J d G V t V H l w Z T 4 8 S X R l b V B h d G g + U 2 V j d G l v b j E v S 0 R S d k 5 C L 0 F h b m d l c G F z d C U y M G l 0 Z W 0 l M j B 0 b 2 V n Z X Z v Z W d k N T E 8 L 0 l 0 Z W 1 Q Y X R o P j w v S X R l b U x v Y 2 F 0 a W 9 u P j x T d G F i b G V F b n R y a W V z I C 8 + P C 9 J d G V t P j x J d G V t P j x J d G V t T G 9 j Y X R p b 2 4 + P E l 0 Z W 1 U e X B l P k Z v c m 1 1 b G E 8 L 0 l 0 Z W 1 U e X B l P j x J d G V t U G F 0 a D 5 T Z W N 0 a W 9 u M S 9 L R F J 2 T k I v Q W F u Z 2 V w Y X N 0 J T I w a X R l b S U y M H R v Z W d l d m 9 l Z 2 Q 1 M j w v S X R l b V B h d G g + P C 9 J d G V t T G 9 j Y X R p b 2 4 + P F N 0 Y W J s Z U V u d H J p Z X M g L z 4 8 L 0 l 0 Z W 0 + P E l 0 Z W 0 + P E l 0 Z W 1 M b 2 N h d G l v b j 4 8 S X R l b V R 5 c G U + R m 9 y b X V s Y T w v S X R l b V R 5 c G U + P E l 0 Z W 1 Q Y X R o P l N l Y 3 R p b 2 4 x L 0 t E U n Z O Q i 9 B Y W 5 n Z X B h c 3 Q l M j B p d G V t J T I w d G 9 l Z 2 V 2 b 2 V n Z D U z P C 9 J d G V t U G F 0 a D 4 8 L 0 l 0 Z W 1 M b 2 N h d G l v b j 4 8 U 3 R h Y m x l R W 5 0 c m l l c y A v P j w v S X R l b T 4 8 S X R l b T 4 8 S X R l b U x v Y 2 F 0 a W 9 u P j x J d G V t V H l w Z T 5 G b 3 J t d W x h P C 9 J d G V t V H l w Z T 4 8 S X R l b V B h d G g + U 2 V j d G l v b j E v S 0 R S d k 5 C L 0 F h b m d l c G F z d C U y M G l 0 Z W 0 l M j B 0 b 2 V n Z X Z v Z W d k N T Q 8 L 0 l 0 Z W 1 Q Y X R o P j w v S X R l b U x v Y 2 F 0 a W 9 u P j x T d G F i b G V F b n R y a W V z I C 8 + P C 9 J d G V t P j x J d G V t P j x J d G V t T G 9 j Y X R p b 2 4 + P E l 0 Z W 1 U e X B l P k Z v c m 1 1 b G E 8 L 0 l 0 Z W 1 U e X B l P j x J d G V t U G F 0 a D 5 T Z W N 0 a W 9 u M S 9 L R F J 2 T k I v Q W F u Z 2 V w Y X N 0 J T I w a X R l b S U y M H R v Z W d l d m 9 l Z 2 Q 1 N T w v S X R l b V B h d G g + P C 9 J d G V t T G 9 j Y X R p b 2 4 + P F N 0 Y W J s Z U V u d H J p Z X M g L z 4 8 L 0 l 0 Z W 0 + P E l 0 Z W 0 + P E l 0 Z W 1 M b 2 N h d G l v b j 4 8 S X R l b V R 5 c G U + R m 9 y b X V s Y T w v S X R l b V R 5 c G U + P E l 0 Z W 1 Q Y X R o P l N l Y 3 R p b 2 4 x L 0 t E U n Z O Q i 9 B Y W 5 n Z X B h c 3 Q l M j B p d G V t J T I w d G 9 l Z 2 V 2 b 2 V n Z D U 2 P C 9 J d G V t U G F 0 a D 4 8 L 0 l 0 Z W 1 M b 2 N h d G l v b j 4 8 U 3 R h Y m x l R W 5 0 c m l l c y A v P j w v S X R l b T 4 8 S X R l b T 4 8 S X R l b U x v Y 2 F 0 a W 9 u P j x J d G V t V H l w Z T 5 G b 3 J t d W x h P C 9 J d G V t V H l w Z T 4 8 S X R l b V B h d G g + U 2 V j d G l v b j E v S 0 R S d k 5 C L 0 F h b m d l c G F z d C U y M G l 0 Z W 0 l M j B 0 b 2 V n Z X Z v Z W d k N T c 8 L 0 l 0 Z W 1 Q Y X R o P j w v S X R l b U x v Y 2 F 0 a W 9 u P j x T d G F i b G V F b n R y a W V z I C 8 + P C 9 J d G V t P j x J d G V t P j x J d G V t T G 9 j Y X R p b 2 4 + P E l 0 Z W 1 U e X B l P k Z v c m 1 1 b G E 8 L 0 l 0 Z W 1 U e X B l P j x J d G V t U G F 0 a D 5 T Z W N 0 a W 9 u M S 9 L R F J 2 T k I v V m 9 v c n d h Y X J k Z W x p a m t l J T I w a 2 9 s b 2 0 l M j B p b m d l d m 9 l Z 2 Q z M D w v S X R l b V B h d G g + P C 9 J d G V t T G 9 j Y X R p b 2 4 + P F N 0 Y W J s Z U V u d H J p Z X M g L z 4 8 L 0 l 0 Z W 0 + P E l 0 Z W 0 + P E l 0 Z W 1 M b 2 N h d G l v b j 4 8 S X R l b V R 5 c G U + R m 9 y b X V s Y T w v S X R l b V R 5 c G U + P E l 0 Z W 1 Q Y X R o P l N l Y 3 R p b 2 4 x L 0 t E U n Z O Q i 9 W b 2 9 y d 2 F h c m R l b G l q a 2 U l M j B r b 2 x v b S U y M G l u Z 2 V 2 b 2 V n Z D M x P C 9 J d G V t U G F 0 a D 4 8 L 0 l 0 Z W 1 M b 2 N h d G l v b j 4 8 U 3 R h Y m x l R W 5 0 c m l l c y A v P j w v S X R l b T 4 8 S X R l b T 4 8 S X R l b U x v Y 2 F 0 a W 9 u P j x J d G V t V H l w Z T 5 G b 3 J t d W x h P C 9 J d G V t V H l w Z T 4 8 S X R l b V B h d G g + U 2 V j d G l v b j E v S 0 R S d k 5 C L 1 Z v b 3 J 3 Y W F y Z G V s a W p r Z S U y M G t v b G 9 t J T I w a W 5 n Z X Z v Z W d k M z I 8 L 0 l 0 Z W 1 Q Y X R o P j w v S X R l b U x v Y 2 F 0 a W 9 u P j x T d G F i b G V F b n R y a W V z I C 8 + P C 9 J d G V t P j x J d G V t P j x J d G V t T G 9 j Y X R p b 2 4 + P E l 0 Z W 1 U e X B l P k Z v c m 1 1 b G E 8 L 0 l 0 Z W 1 U e X B l P j x J d G V t U G F 0 a D 5 T Z W N 0 a W 9 u M S 9 L R F J 2 T k I v V m 9 v c n d h Y X J k Z W x p a m t l J T I w a 2 9 s b 2 0 l M j B p b m d l d m 9 l Z 2 Q z M z w v S X R l b V B h d G g + P C 9 J d G V t T G 9 j Y X R p b 2 4 + P F N 0 Y W J s Z U V u d H J p Z X M g L z 4 8 L 0 l 0 Z W 0 + P E l 0 Z W 0 + P E l 0 Z W 1 M b 2 N h d G l v b j 4 8 S X R l b V R 5 c G U + R m 9 y b X V s Y T w v S X R l b V R 5 c G U + P E l 0 Z W 1 Q Y X R o P l N l Y 3 R p b 2 4 x L 0 t E U n Z O Q i 9 W b 2 9 y d 2 F h c m R l b G l q a 2 U l M j B r b 2 x v b S U y M G l u Z 2 V 2 b 2 V n Z D M 0 P C 9 J d G V t U G F 0 a D 4 8 L 0 l 0 Z W 1 M b 2 N h d G l v b j 4 8 U 3 R h Y m x l R W 5 0 c m l l c y A v P j w v S X R l b T 4 8 S X R l b T 4 8 S X R l b U x v Y 2 F 0 a W 9 u P j x J d G V t V H l w Z T 5 G b 3 J t d W x h P C 9 J d G V t V H l w Z T 4 8 S X R l b V B h d G g + U 2 V j d G l v b j E v S 0 R S d k 5 C L 1 Z v b 3 J 3 Y W F y Z G V s a W p r Z S U y M G t v b G 9 t J T I w a W 5 n Z X Z v Z W d k M z U 8 L 0 l 0 Z W 1 Q Y X R o P j w v S X R l b U x v Y 2 F 0 a W 9 u P j x T d G F i b G V F b n R y a W V z I C 8 + P C 9 J d G V t P j x J d G V t P j x J d G V t T G 9 j Y X R p b 2 4 + P E l 0 Z W 1 U e X B l P k Z v c m 1 1 b G E 8 L 0 l 0 Z W 1 U e X B l P j x J d G V t U G F 0 a D 5 T Z W N 0 a W 9 u M S 9 L R F J 2 T k I v V m 9 v c n d h Y X J k Z W x p a m t l J T I w a 2 9 s b 2 0 l M j B p b m d l d m 9 l Z 2 Q z N j w v S X R l b V B h d G g + P C 9 J d G V t T G 9 j Y X R p b 2 4 + P F N 0 Y W J s Z U V u d H J p Z X M g L z 4 8 L 0 l 0 Z W 0 + P E l 0 Z W 0 + P E l 0 Z W 1 M b 2 N h d G l v b j 4 8 S X R l b V R 5 c G U + R m 9 y b X V s Y T w v S X R l b V R 5 c G U + P E l 0 Z W 1 Q Y X R o P l N l Y 3 R p b 2 4 x L 0 t E U n Z O Q i 9 W b 2 9 y d 2 F h c m R l b G l q a 2 U l M j B r b 2 x v b S U y M G l u Z 2 V 2 b 2 V n Z D M 3 P C 9 J d G V t U G F 0 a D 4 8 L 0 l 0 Z W 1 M b 2 N h d G l v b j 4 8 U 3 R h Y m x l R W 5 0 c m l l c y A v P j w v S X R l b T 4 8 S X R l b T 4 8 S X R l b U x v Y 2 F 0 a W 9 u P j x J d G V t V H l w Z T 5 G b 3 J t d W x h P C 9 J d G V t V H l w Z T 4 8 S X R l b V B h d G g + U 2 V j d G l v b j E v S 0 R S d k 5 C L 1 Z v b 3 J 3 Y W F y Z G V s a W p r Z S U y M G t v b G 9 t J T I w a W 5 n Z X Z v Z W d k M z g 8 L 0 l 0 Z W 1 Q Y X R o P j w v S X R l b U x v Y 2 F 0 a W 9 u P j x T d G F i b G V F b n R y a W V z I C 8 + P C 9 J d G V t P j x J d G V t P j x J d G V t T G 9 j Y X R p b 2 4 + P E l 0 Z W 1 U e X B l P k Z v c m 1 1 b G E 8 L 0 l 0 Z W 1 U e X B l P j x J d G V t U G F 0 a D 5 T Z W N 0 a W 9 u M S 9 L R F J 2 T k I v V m 9 v c n d h Y X J k Z W x p a m t l J T I w a 2 9 s b 2 0 l M j B p b m d l d m 9 l Z 2 Q z O T w v S X R l b V B h d G g + P C 9 J d G V t T G 9 j Y X R p b 2 4 + P F N 0 Y W J s Z U V u d H J p Z X M g L z 4 8 L 0 l 0 Z W 0 + P E l 0 Z W 0 + P E l 0 Z W 1 M b 2 N h d G l v b j 4 8 S X R l b V R 5 c G U + R m 9 y b X V s Y T w v S X R l b V R 5 c G U + P E l 0 Z W 1 Q Y X R o P l N l Y 3 R p b 2 4 x L 0 t E U n Z O Q i 9 W b 2 9 y d 2 F h c m R l b G l q a 2 U l M j B r b 2 x v b S U y M G l u Z 2 V 2 b 2 V n Z D Q w P C 9 J d G V t U G F 0 a D 4 8 L 0 l 0 Z W 1 M b 2 N h d G l v b j 4 8 U 3 R h Y m x l R W 5 0 c m l l c y A v P j w v S X R l b T 4 8 S X R l b T 4 8 S X R l b U x v Y 2 F 0 a W 9 u P j x J d G V t V H l w Z T 5 G b 3 J t d W x h P C 9 J d G V t V H l w Z T 4 8 S X R l b V B h d G g + U 2 V j d G l v b j E v S 0 R S d k 5 C L 1 Z v b 3 J 3 Y W F y Z G V s a W p r Z S U y M G t v b G 9 t J T I w a W 5 n Z X Z v Z W d k N D E 8 L 0 l 0 Z W 1 Q Y X R o P j w v S X R l b U x v Y 2 F 0 a W 9 u P j x T d G F i b G V F b n R y a W V z I C 8 + P C 9 J d G V t P j x J d G V t P j x J d G V t T G 9 j Y X R p b 2 4 + P E l 0 Z W 1 U e X B l P k Z v c m 1 1 b G E 8 L 0 l 0 Z W 1 U e X B l P j x J d G V t U G F 0 a D 5 T Z W N 0 a W 9 u M S 9 L R F J 2 T k I v V m 9 v c n d h Y X J k Z W x p a m t l J T I w a 2 9 s b 2 0 l M j B p b m d l d m 9 l Z 2 Q 0 M j w v S X R l b V B h d G g + P C 9 J d G V t T G 9 j Y X R p b 2 4 + P F N 0 Y W J s Z U V u d H J p Z X M g L z 4 8 L 0 l 0 Z W 0 + P E l 0 Z W 0 + P E l 0 Z W 1 M b 2 N h d G l v b j 4 8 S X R l b V R 5 c G U + R m 9 y b X V s Y T w v S X R l b V R 5 c G U + P E l 0 Z W 1 Q Y X R o P l N l Y 3 R p b 2 4 x L 0 t E U n Z O Q i 9 W b 2 9 y d 2 F h c m R l b G l q a 2 U l M j B r b 2 x v b S U y M G l u Z 2 V 2 b 2 V n Z D Q z P C 9 J d G V t U G F 0 a D 4 8 L 0 l 0 Z W 1 M b 2 N h d G l v b j 4 8 U 3 R h Y m x l R W 5 0 c m l l c y A v P j w v S X R l b T 4 8 S X R l b T 4 8 S X R l b U x v Y 2 F 0 a W 9 u P j x J d G V t V H l w Z T 5 G b 3 J t d W x h P C 9 J d G V t V H l w Z T 4 8 S X R l b V B h d G g + U 2 V j d G l v b j E v S 0 R S d k 5 C L 1 Z v b 3 J 3 Y W F y Z G V s a W p r Z S U y M G t v b G 9 t J T I w a W 5 n Z X Z v Z W d k N D Q 8 L 0 l 0 Z W 1 Q Y X R o P j w v S X R l b U x v Y 2 F 0 a W 9 u P j x T d G F i b G V F b n R y a W V z I C 8 + P C 9 J d G V t P j x J d G V t P j x J d G V t T G 9 j Y X R p b 2 4 + P E l 0 Z W 1 U e X B l P k Z v c m 1 1 b G E 8 L 0 l 0 Z W 1 U e X B l P j x J d G V t U G F 0 a D 5 T Z W N 0 a W 9 u M S 9 L R F J 2 T k I v V m 9 v c n d h Y X J k Z W x p a m t l J T I w a 2 9 s b 2 0 l M j B p b m d l d m 9 l Z 2 Q 0 N T w v S X R l b V B h d G g + P C 9 J d G V t T G 9 j Y X R p b 2 4 + P F N 0 Y W J s Z U V u d H J p Z X M g L z 4 8 L 0 l 0 Z W 0 + P E l 0 Z W 0 + P E l 0 Z W 1 M b 2 N h d G l v b j 4 8 S X R l b V R 5 c G U + R m 9 y b X V s Y T w v S X R l b V R 5 c G U + P E l 0 Z W 1 Q Y X R o P l N l Y 3 R p b 2 4 x L 0 t E U n Z O Q i 9 W b 2 9 y d 2 F h c m R l b G l q a 2 U l M j B r b 2 x v b S U y M G l u Z 2 V 2 b 2 V n Z D Q 2 P C 9 J d G V t U G F 0 a D 4 8 L 0 l 0 Z W 1 M b 2 N h d G l v b j 4 8 U 3 R h Y m x l R W 5 0 c m l l c y A v P j w v S X R l b T 4 8 S X R l b T 4 8 S X R l b U x v Y 2 F 0 a W 9 u P j x J d G V t V H l w Z T 5 G b 3 J t d W x h P C 9 J d G V t V H l w Z T 4 8 S X R l b V B h d G g + U 2 V j d G l v b j E v S 0 R S d k 5 C L 1 Z v b 3 J 3 Y W F y Z G V s a W p r Z S U y M G t v b G 9 t J T I w a W 5 n Z X Z v Z W d k N D c 8 L 0 l 0 Z W 1 Q Y X R o P j w v S X R l b U x v Y 2 F 0 a W 9 u P j x T d G F i b G V F b n R y a W V z I C 8 + P C 9 J d G V t P j x J d G V t P j x J d G V t T G 9 j Y X R p b 2 4 + P E l 0 Z W 1 U e X B l P k Z v c m 1 1 b G E 8 L 0 l 0 Z W 1 U e X B l P j x J d G V t U G F 0 a D 5 T Z W N 0 a W 9 u M S 9 L R F J 2 T k I v V m 9 v c n d h Y X J k Z W x p a m t l J T I w a 2 9 s b 2 0 l M j B p b m d l d m 9 l Z 2 Q 0 O D w v S X R l b V B h d G g + P C 9 J d G V t T G 9 j Y X R p b 2 4 + P F N 0 Y W J s Z U V u d H J p Z X M g L z 4 8 L 0 l 0 Z W 0 + P E l 0 Z W 0 + P E l 0 Z W 1 M b 2 N h d G l v b j 4 8 S X R l b V R 5 c G U + R m 9 y b X V s Y T w v S X R l b V R 5 c G U + P E l 0 Z W 1 Q Y X R o P l N l Y 3 R p b 2 4 x L 0 t E U n Z O Q i 9 W b 2 9 y d 2 F h c m R l b G l q a 2 U l M j B r b 2 x v b S U y M G l u Z 2 V 2 b 2 V n Z D Q 5 P C 9 J d G V t U G F 0 a D 4 8 L 0 l 0 Z W 1 M b 2 N h d G l v b j 4 8 U 3 R h Y m x l R W 5 0 c m l l c y A v P j w v S X R l b T 4 8 S X R l b T 4 8 S X R l b U x v Y 2 F 0 a W 9 u P j x J d G V t V H l w Z T 5 G b 3 J t d W x h P C 9 J d G V t V H l w Z T 4 8 S X R l b V B h d G g + U 2 V j d G l v b j E v S 0 R S d k 5 C L 1 Z v b 3 J 3 Y W F y Z G V s a W p r Z S U y M G t v b G 9 t J T I w a W 5 n Z X Z v Z W d k N T A 8 L 0 l 0 Z W 1 Q Y X R o P j w v S X R l b U x v Y 2 F 0 a W 9 u P j x T d G F i b G V F b n R y a W V z I C 8 + P C 9 J d G V t P j x J d G V t P j x J d G V t T G 9 j Y X R p b 2 4 + P E l 0 Z W 1 U e X B l P k Z v c m 1 1 b G E 8 L 0 l 0 Z W 1 U e X B l P j x J d G V t U G F 0 a D 5 T Z W N 0 a W 9 u M S 9 L R F J 2 T k I v V m 9 v c n d h Y X J k Z W x p a m t l J T I w a 2 9 s b 2 0 l M j B p b m d l d m 9 l Z 2 Q 1 M T w v S X R l b V B h d G g + P C 9 J d G V t T G 9 j Y X R p b 2 4 + P F N 0 Y W J s Z U V u d H J p Z X M g L z 4 8 L 0 l 0 Z W 0 + P E l 0 Z W 0 + P E l 0 Z W 1 M b 2 N h d G l v b j 4 8 S X R l b V R 5 c G U + R m 9 y b X V s Y T w v S X R l b V R 5 c G U + P E l 0 Z W 1 Q Y X R o P l N l Y 3 R p b 2 4 x L 0 t E U n Z O Q i 9 W b 2 9 y d 2 F h c m R l b G l q a 2 U l M j B r b 2 x v b S U y M G l u Z 2 V 2 b 2 V n Z D U y P C 9 J d G V t U G F 0 a D 4 8 L 0 l 0 Z W 1 M b 2 N h d G l v b j 4 8 U 3 R h Y m x l R W 5 0 c m l l c y A v P j w v S X R l b T 4 8 S X R l b T 4 8 S X R l b U x v Y 2 F 0 a W 9 u P j x J d G V t V H l w Z T 5 G b 3 J t d W x h P C 9 J d G V t V H l w Z T 4 8 S X R l b V B h d G g + U 2 V j d G l v b j E v S 0 R S d k 5 C L 1 Z v b 3 J 3 Y W F y Z G V s a W p r Z S U y M G t v b G 9 t J T I w a W 5 n Z X Z v Z W d k N T M 8 L 0 l 0 Z W 1 Q Y X R o P j w v S X R l b U x v Y 2 F 0 a W 9 u P j x T d G F i b G V F b n R y a W V z I C 8 + P C 9 J d G V t P j x J d G V t P j x J d G V t T G 9 j Y X R p b 2 4 + P E l 0 Z W 1 U e X B l P k Z v c m 1 1 b G E 8 L 0 l 0 Z W 1 U e X B l P j x J d G V t U G F 0 a D 5 T Z W N 0 a W 9 u M S 9 L R F J 2 T k I v V m 9 v c n d h Y X J k Z W x p a m t l J T I w a 2 9 s b 2 0 l M j B p b m d l d m 9 l Z 2 Q 1 N D w v S X R l b V B h d G g + P C 9 J d G V t T G 9 j Y X R p b 2 4 + P F N 0 Y W J s Z U V u d H J p Z X M g L z 4 8 L 0 l 0 Z W 0 + P E l 0 Z W 0 + P E l 0 Z W 1 M b 2 N h d G l v b j 4 8 S X R l b V R 5 c G U + R m 9 y b X V s Y T w v S X R l b V R 5 c G U + P E l 0 Z W 1 Q Y X R o P l N l Y 3 R p b 2 4 x L 0 t E U n Z O Q i 9 W b 2 9 y d 2 F h c m R l b G l q a 2 U l M j B r b 2 x v b S U y M G l u Z 2 V 2 b 2 V n Z D U 1 P C 9 J d G V t U G F 0 a D 4 8 L 0 l 0 Z W 1 M b 2 N h d G l v b j 4 8 U 3 R h Y m x l R W 5 0 c m l l c y A v P j w v S X R l b T 4 8 S X R l b T 4 8 S X R l b U x v Y 2 F 0 a W 9 u P j x J d G V t V H l w Z T 5 G b 3 J t d W x h P C 9 J d G V t V H l w Z T 4 8 S X R l b V B h d G g + U 2 V j d G l v b j E v S 0 R S d k 5 C L 1 Z v b 3 J 3 Y W F y Z G V s a W p r Z S U y M G t v b G 9 t J T I w a W 5 n Z X Z v Z W d k N T Y 8 L 0 l 0 Z W 1 Q Y X R o P j w v S X R l b U x v Y 2 F 0 a W 9 u P j x T d G F i b G V F b n R y a W V z I C 8 + P C 9 J d G V t P j x J d G V t P j x J d G V t T G 9 j Y X R p b 2 4 + P E l 0 Z W 1 U e X B l P k Z v c m 1 1 b G E 8 L 0 l 0 Z W 1 U e X B l P j x J d G V t U G F 0 a D 5 T Z W N 0 a W 9 u M S 9 L R F J 2 T k I v V m 9 v c n d h Y X J k Z W x p a m t l J T I w a 2 9 s b 2 0 l M j B p b m d l d m 9 l Z 2 Q 1 N z w v S X R l b V B h d G g + P C 9 J d G V t T G 9 j Y X R p b 2 4 + P F N 0 Y W J s Z U V u d H J p Z X M g L z 4 8 L 0 l 0 Z W 0 + P E l 0 Z W 0 + P E l 0 Z W 1 M b 2 N h d G l v b j 4 8 S X R l b V R 5 c G U + R m 9 y b X V s Y T w v S X R l b V R 5 c G U + P E l 0 Z W 1 Q Y X R o P l N l Y 3 R p b 2 4 x L 0 t E U n Z O Q i 9 W b 2 9 y d 2 F h c m R l b G l q a 2 U l M j B r b 2 x v b S U y M G l u Z 2 V 2 b 2 V n Z D U 4 P C 9 J d G V t U G F 0 a D 4 8 L 0 l 0 Z W 1 M b 2 N h d G l v b j 4 8 U 3 R h Y m x l R W 5 0 c m l l c y A v P j w v S X R l b T 4 8 S X R l b T 4 8 S X R l b U x v Y 2 F 0 a W 9 u P j x J d G V t V H l w Z T 5 G b 3 J t d W x h P C 9 J d G V t V H l w Z T 4 8 S X R l b V B h d G g + U 2 V j d G l v b j E v S 0 R S d k 5 C L 1 Z v b 3 J 3 Y W F y Z G V s a W p r Z S U y M G t v b G 9 t J T I w a W 5 n Z X Z v Z W d k N T k 8 L 0 l 0 Z W 1 Q Y X R o P j w v S X R l b U x v Y 2 F 0 a W 9 u P j x T d G F i b G V F b n R y a W V z I C 8 + P C 9 J d G V t P j x J d G V t P j x J d G V t T G 9 j Y X R p b 2 4 + P E l 0 Z W 1 U e X B l P k Z v c m 1 1 b G E 8 L 0 l 0 Z W 1 U e X B l P j x J d G V t U G F 0 a D 5 T Z W N 0 a W 9 u M S 9 L R F J 2 T k I v Q W F u Z 2 V w Y X N 0 J T I w a X R l b S U y M H R v Z W d l d m 9 l Z 2 Q l M j A x P C 9 J d G V t U G F 0 a D 4 8 L 0 l 0 Z W 1 M b 2 N h d G l v b j 4 8 U 3 R h Y m x l R W 5 0 c m l l c y A v P j w v S X R l b T 4 8 S X R l b T 4 8 S X R l b U x v Y 2 F 0 a W 9 u P j x J d G V t V H l w Z T 5 G b 3 J t d W x h P C 9 J d G V t V H l w Z T 4 8 S X R l b V B h d G g + U 2 V j d G l v b j E v S 0 R S d k 5 C L 0 F h b m d l c G F z d C U y M G l 0 Z W 0 l M j B 0 b 2 V n Z X Z v Z W d k J T I w M j w v S X R l b V B h d G g + P C 9 J d G V t T G 9 j Y X R p b 2 4 + P F N 0 Y W J s Z U V u d H J p Z X M g L z 4 8 L 0 l 0 Z W 0 + P E l 0 Z W 0 + P E l 0 Z W 1 M b 2 N h d G l v b j 4 8 S X R l b V R 5 c G U + R m 9 y b X V s Y T w v S X R l b V R 5 c G U + P E l 0 Z W 1 Q Y X R o P l N l Y 3 R p b 2 4 x L 0 t E U n Z O Q i 9 B Y W 5 n Z X B h c 3 Q l M j B p d G V t J T I w d G 9 l Z 2 V 2 b 2 V n Z C U y M D M 8 L 0 l 0 Z W 1 Q Y X R o P j w v S X R l b U x v Y 2 F 0 a W 9 u P j x T d G F i b G V F b n R y a W V z I C 8 + P C 9 J d G V t P j x J d G V t P j x J d G V t T G 9 j Y X R p b 2 4 + P E l 0 Z W 1 U e X B l P k Z v c m 1 1 b G E 8 L 0 l 0 Z W 1 U e X B l P j x J d G V t U G F 0 a D 5 T Z W N 0 a W 9 u M S 9 L R F J 2 T k I v Q W F u Z 2 V w Y X N 0 J T I w a X R l b S U y M H R v Z W d l d m 9 l Z 2 Q l M j A 0 P C 9 J d G V t U G F 0 a D 4 8 L 0 l 0 Z W 1 M b 2 N h d G l v b j 4 8 U 3 R h Y m x l R W 5 0 c m l l c y A v P j w v S X R l b T 4 8 S X R l b T 4 8 S X R l b U x v Y 2 F 0 a W 9 u P j x J d G V t V H l w Z T 5 G b 3 J t d W x h P C 9 J d G V t V H l w Z T 4 8 S X R l b V B h d G g + U 2 V j d G l v b j E v S 0 R S d k 5 C L 0 t v b G 9 t b W V u J T I w d m V y d 2 l q Z G V y Z C U y M D I 8 L 0 l 0 Z W 1 Q Y X R o P j w v S X R l b U x v Y 2 F 0 a W 9 u P j x T d G F i b G V F b n R y a W V z I C 8 + P C 9 J d G V t P j x J d G V t P j x J d G V t T G 9 j Y X R p b 2 4 + P E l 0 Z W 1 U e X B l P k Z v c m 1 1 b G E 8 L 0 l 0 Z W 1 U e X B l P j x J d G V t U G F 0 a D 5 T Z W N 0 a W 9 u M S 9 L R F J 2 T k I v T m F t Z W 4 l M j B 2 Y W 4 l M j B r b 2 x v b W 1 l b i U y M G d l d 2 l q e m l n Z C U y M D g 8 L 0 l 0 Z W 1 Q Y X R o P j w v S X R l b U x v Y 2 F 0 a W 9 u P j x T d G F i b G V F b n R y a W V z I C 8 + P C 9 J d G V t P j x J d G V t P j x J d G V t T G 9 j Y X R p b 2 4 + P E l 0 Z W 1 U e X B l P k Z v c m 1 1 b G E 8 L 0 l 0 Z W 1 U e X B l P j x J d G V t U G F 0 a D 5 T Z W N 0 a W 9 u M S 9 L R F J 2 T k I v V 2 F h c m R l J T I w a X M l M j B 2 Z X J 2 Y W 5 n Z W 4 l M j A 5 P C 9 J d G V t U G F 0 a D 4 8 L 0 l 0 Z W 1 M b 2 N h d G l v b j 4 8 U 3 R h Y m x l R W 5 0 c m l l c y A v P j w v S X R l b T 4 8 S X R l b T 4 8 S X R l b U x v Y 2 F 0 a W 9 u P j x J d G V t V H l w Z T 5 G b 3 J t d W x h P C 9 J d G V t V H l w Z T 4 8 S X R l b V B h d G g + U 2 V j d G l v b j E v S 0 R S d k 5 C L 1 d h Y X J k Z S U y M G l z J T I w d m V y d m F u Z 2 V u J T I w M j w v S X R l b V B h d G g + P C 9 J d G V t T G 9 j Y X R p b 2 4 + P F N 0 Y W J s Z U V u d H J p Z X M g L z 4 8 L 0 l 0 Z W 0 + P E l 0 Z W 0 + P E l 0 Z W 1 M b 2 N h d G l v b j 4 8 S X R l b V R 5 c G U + R m 9 y b X V s Y T w v S X R l b V R 5 c G U + P E l 0 Z W 1 Q Y X R o P l N l Y 3 R p b 2 4 x L 0 t E U n Z O Q i 9 O Y W 1 l b i U y M H Z h b i U y M G t v b G 9 t b W V u J T I w Z 2 V 3 a W p 6 a W d k J T I w M z w v S X R l b V B h d G g + P C 9 J d G V t T G 9 j Y X R p b 2 4 + P F N 0 Y W J s Z U V u d H J p Z X M g L z 4 8 L 0 l 0 Z W 0 + P E l 0 Z W 0 + P E l 0 Z W 1 M b 2 N h d G l v b j 4 8 S X R l b V R 5 c G U + R m 9 y b X V s Y T w v S X R l b V R 5 c G U + P E l 0 Z W 1 Q Y X R o P l N l Y 3 R p b 2 4 x L 0 t E U n Z O Q i 9 X Y W F y Z G U l M j B p c y U y M H Z l c n Z h b m d l b i U y M D M 8 L 0 l 0 Z W 1 Q Y X R o P j w v S X R l b U x v Y 2 F 0 a W 9 u P j x T d G F i b G V F b n R y a W V z I C 8 + P C 9 J d G V t P j x J d G V t P j x J d G V t T G 9 j Y X R p b 2 4 + P E l 0 Z W 1 U e X B l P k Z v c m 1 1 b G E 8 L 0 l 0 Z W 1 U e X B l P j x J d G V t U G F 0 a D 5 T Z W N 0 a W 9 u M S 9 L R F J 2 T k I v V 2 F h c m R l J T I w a X M l M j B 2 Z X J 2 Y W 5 n Z W 4 l M j A 0 P C 9 J d G V t U G F 0 a D 4 8 L 0 l 0 Z W 1 M b 2 N h d G l v b j 4 8 U 3 R h Y m x l R W 5 0 c m l l c y A v P j w v S X R l b T 4 8 S X R l b T 4 8 S X R l b U x v Y 2 F 0 a W 9 u P j x J d G V t V H l w Z T 5 G b 3 J t d W x h P C 9 J d G V t V H l w Z T 4 8 S X R l b V B h d G g + U 2 V j d G l v b j E v S 0 R S d k 5 C L 0 5 h b W V u J T I w d m F u J T I w a 2 9 s b 2 1 t Z W 4 l M j B n Z X d p a n p p Z 2 Q l M j A 0 P C 9 J d G V t U G F 0 a D 4 8 L 0 l 0 Z W 1 M b 2 N h d G l v b j 4 8 U 3 R h Y m x l R W 5 0 c m l l c y A v P j w v S X R l b T 4 8 S X R l b T 4 8 S X R l b U x v Y 2 F 0 a W 9 u P j x J d G V t V H l w Z T 5 G b 3 J t d W x h P C 9 J d G V t V H l w Z T 4 8 S X R l b V B h d G g + U 2 V j d G l v b j E v S 0 R S d k 5 C L 0 5 h b W V u J T I w d m F u J T I w a 2 9 s b 2 1 t Z W 4 l M j B n Z X d p a n p p Z 2 Q l M j A 1 P C 9 J d G V t U G F 0 a D 4 8 L 0 l 0 Z W 1 M b 2 N h d G l v b j 4 8 U 3 R h Y m x l R W 5 0 c m l l c y A v P j w v S X R l b T 4 8 S X R l b T 4 8 S X R l b U x v Y 2 F 0 a W 9 u P j x J d G V t V H l w Z T 5 G b 3 J t d W x h P C 9 J d G V t V H l w Z T 4 8 S X R l b V B h d G g + U 2 V j d G l v b j E v S 0 R S d k 5 C L 0 t v b G 9 t b W V u J T I w c 2 F t Z W 5 n Z X Z v Z W d k J T I w M T w v S X R l b V B h d G g + P C 9 J d G V t T G 9 j Y X R p b 2 4 + P F N 0 Y W J s Z U V u d H J p Z X M g L z 4 8 L 0 l 0 Z W 0 + P E l 0 Z W 0 + P E l 0 Z W 1 M b 2 N h d G l v b j 4 8 S X R l b V R 5 c G U + R m 9 y b X V s Y T w v S X R l b V R 5 c G U + P E l 0 Z W 1 Q Y X R o P l N l Y 3 R p b 2 4 x L 0 t E U n Z O Q i 9 L b 2 x v b W 1 l b i U y M H N h b W V u Z 2 V 2 b 2 V n Z C U y M D I 8 L 0 l 0 Z W 1 Q Y X R o P j w v S X R l b U x v Y 2 F 0 a W 9 u P j x T d G F i b G V F b n R y a W V z I C 8 + P C 9 J d G V t P j x J d G V t P j x J d G V t T G 9 j Y X R p b 2 4 + P E l 0 Z W 1 U e X B l P k Z v c m 1 1 b G E 8 L 0 l 0 Z W 1 U e X B l P j x J d G V t U G F 0 a D 5 T Z W N 0 a W 9 u M S 9 L R F J 2 T k I v T m F t Z W 4 l M j B 2 Y W 4 l M j B r b 2 x v b W 1 l b i U y M G d l d 2 l q e m l n Z C U y M D Y 8 L 0 l 0 Z W 1 Q Y X R o P j w v S X R l b U x v Y 2 F 0 a W 9 u P j x T d G F i b G V F b n R y a W V z I C 8 + P C 9 J d G V t P j x J d G V t P j x J d G V t T G 9 j Y X R p b 2 4 + P E l 0 Z W 1 U e X B l P k Z v c m 1 1 b G E 8 L 0 l 0 Z W 1 U e X B l P j x J d G V t U G F 0 a D 5 T Z W N 0 a W 9 u M S 9 L R F J 2 T k I v T m F t Z W 4 l M j B 2 Y W 4 l M j B r b 2 x v b W 1 l b i U y M G d l d 2 l q e m l n Z C U y M D c 8 L 0 l 0 Z W 1 Q Y X R o P j w v S X R l b U x v Y 2 F 0 a W 9 u P j x T d G F i b G V F b n R y a W V z I C 8 + P C 9 J d G V t P j x J d G V t P j x J d G V t T G 9 j Y X R p b 2 4 + P E l 0 Z W 1 U e X B l P k Z v c m 1 1 b G E 8 L 0 l 0 Z W 1 U e X B l P j x J d G V t U G F 0 a D 5 T Z W N 0 a W 9 u M S 9 L R F J 2 T k I v V 2 F h c m R l J T I w a X M l M j B 2 Z X J 2 Y W 5 n Z W 4 l M j A 3 P C 9 J d G V t U G F 0 a D 4 8 L 0 l 0 Z W 1 M b 2 N h d G l v b j 4 8 U 3 R h Y m x l R W 5 0 c m l l c y A v P j w v S X R l b T 4 8 S X R l b T 4 8 S X R l b U x v Y 2 F 0 a W 9 u P j x J d G V t V H l w Z T 5 G b 3 J t d W x h P C 9 J d G V t V H l w Z T 4 8 S X R l b V B h d G g + U 2 V j d G l v b j E v S 0 R S d k 5 C L 1 d h Y X J k Z S U y M G l z J T I w d m V y d m F u Z 2 V u J T I w O D w v S X R l b V B h d G g + P C 9 J d G V t T G 9 j Y X R p b 2 4 + P F N 0 Y W J s Z U V u d H J p Z X M g L z 4 8 L 0 l 0 Z W 0 + P E l 0 Z W 0 + P E l 0 Z W 1 M b 2 N h d G l v b j 4 8 S X R l b V R 5 c G U + R m 9 y b X V s Y T w v S X R l b V R 5 c G U + P E l 0 Z W 1 Q Y X R o P l N l Y 3 R p b 2 4 x L 0 t E U n Z O Q i 9 O Y W 1 l b i U y M H Z h b i U y M G t v b G 9 t b W V u J T I w Z 2 V 3 a W p 6 a W d k J T I w O T w v S X R l b V B h d G g + P C 9 J d G V t T G 9 j Y X R p b 2 4 + P F N 0 Y W J s Z U V u d H J p Z X M g L z 4 8 L 0 l 0 Z W 0 + P E l 0 Z W 0 + P E l 0 Z W 1 M b 2 N h d G l v b j 4 8 S X R l b V R 5 c G U + R m 9 y b X V s Y T w v S X R l b V R 5 c G U + P E l 0 Z W 1 Q Y X R o P l N l Y 3 R p b 2 4 x L 0 t E U n Z O Q i 9 I Z X Q l M j B r b 2 x v b X R 5 c G U l M j B p c y U y M G d l d 2 l q e m l n Z C U y M D E 8 L 0 l 0 Z W 1 Q Y X R o P j w v S X R l b U x v Y 2 F 0 a W 9 u P j x T d G F i b G V F b n R y a W V z I C 8 + P C 9 J d G V t P j x J d G V t P j x J d G V t T G 9 j Y X R p b 2 4 + P E l 0 Z W 1 U e X B l P k Z v c m 1 1 b G E 8 L 0 l 0 Z W 1 U e X B l P j x J d G V t U G F 0 a D 5 T Z W N 0 a W 9 u M S 9 L R F J 2 T k I v R 2 V z b 3 J 0 Z W V y Z G U l M j B y a W p l b j w v S X R l b V B h d G g + P C 9 J d G V t T G 9 j Y X R p b 2 4 + P F N 0 Y W J s Z U V u d H J p Z X M g L z 4 8 L 0 l 0 Z W 0 + P E l 0 Z W 0 + P E l 0 Z W 1 M b 2 N h d G l v b j 4 8 S X R l b V R 5 c G U + R m 9 y b X V s Y T w v S X R l b V R 5 c G U + P E l 0 Z W 1 Q Y X R o P l N l Y 3 R p b 2 4 x L 0 Z T R C 9 I Z X Q l M j B r b 2 x v b X R 5 c G U l M j B p c y U y M G d l d 2 l q e m l n Z D w v S X R l b V B h d G g + P C 9 J d G V t T G 9 j Y X R p b 2 4 + P F N 0 Y W J s Z U V u d H J p Z X M g L z 4 8 L 0 l 0 Z W 0 + P E l 0 Z W 0 + P E l 0 Z W 1 M b 2 N h d G l v b j 4 8 S X R l b V R 5 c G U + R m 9 y b X V s Y T w v S X R l b V R 5 c G U + P E l 0 Z W 1 Q Y X R o P l N l Y 3 R p b 2 4 x L 0 Z T R C 9 B Y W 5 n Z X B h c 3 Q l M j B p d G V t J T I w d G 9 l Z 2 V 2 b 2 V n Z D w v S X R l b V B h d G g + P C 9 J d G V t T G 9 j Y X R p b 2 4 + P F N 0 Y W J s Z U V u d H J p Z X M g L z 4 8 L 0 l 0 Z W 0 + P E l 0 Z W 0 + P E l 0 Z W 1 M b 2 N h d G l v b j 4 8 S X R l b V R 5 c G U + R m 9 y b X V s Y T w v S X R l b V R 5 c G U + P E l 0 Z W 1 Q Y X R o P l N l Y 3 R p b 2 4 x L 0 Z T R C 9 W b 2 9 y d 2 F h c m R l b G l q a 2 U l M j B r b 2 x v b S U y M G l u Z 2 V 2 b 2 V n Z D w v S X R l b V B h d G g + P C 9 J d G V t T G 9 j Y X R p b 2 4 + P F N 0 Y W J s Z U V u d H J p Z X M g L z 4 8 L 0 l 0 Z W 0 + P E l 0 Z W 0 + P E l 0 Z W 1 M b 2 N h d G l v b j 4 8 S X R l b V R 5 c G U + R m 9 y b X V s Y T w v S X R l b V R 5 c G U + P E l 0 Z W 1 Q Y X R o P l N l Y 3 R p b 2 4 x L 0 Z T R C 9 B Y W 5 n Z X B h c 3 Q l M j B p d G V t J T I w d G 9 l Z 2 V 2 b 2 V n Z D E 8 L 0 l 0 Z W 1 Q Y X R o P j w v S X R l b U x v Y 2 F 0 a W 9 u P j x T d G F i b G V F b n R y a W V z I C 8 + P C 9 J d G V t P j x J d G V t P j x J d G V t T G 9 j Y X R p b 2 4 + P E l 0 Z W 1 U e X B l P k Z v c m 1 1 b G E 8 L 0 l 0 Z W 1 U e X B l P j x J d G V t U G F 0 a D 5 T Z W N 0 a W 9 u M S 9 G U 0 Q v V m 9 v c n d h Y X J k Z W x p a m t l J T I w a 2 9 s b 2 0 l M j B p b m d l d m 9 l Z 2 Q x P C 9 J d G V t U G F 0 a D 4 8 L 0 l 0 Z W 1 M b 2 N h d G l v b j 4 8 U 3 R h Y m x l R W 5 0 c m l l c y A v P j w v S X R l b T 4 8 S X R l b T 4 8 S X R l b U x v Y 2 F 0 a W 9 u P j x J d G V t V H l w Z T 5 G b 3 J t d W x h P C 9 J d G V t V H l w Z T 4 8 S X R l b V B h d G g + U 2 V j d G l v b j E v R l N E L 0 F h b m d l c G F z d C U y M G l 0 Z W 0 l M j B 0 b 2 V n Z X Z v Z W d k M j w v S X R l b V B h d G g + P C 9 J d G V t T G 9 j Y X R p b 2 4 + P F N 0 Y W J s Z U V u d H J p Z X M g L z 4 8 L 0 l 0 Z W 0 + P E l 0 Z W 0 + P E l 0 Z W 1 M b 2 N h d G l v b j 4 8 S X R l b V R 5 c G U + R m 9 y b X V s Y T w v S X R l b V R 5 c G U + P E l 0 Z W 1 Q Y X R o P l N l Y 3 R p b 2 4 x L 0 Z T R C 9 W b 2 9 y d 2 F h c m R l b G l q a 2 U l M j B r b 2 x v b S U y M G l u Z 2 V 2 b 2 V n Z D I 8 L 0 l 0 Z W 1 Q Y X R o P j w v S X R l b U x v Y 2 F 0 a W 9 u P j x T d G F i b G V F b n R y a W V z I C 8 + P C 9 J d G V t P j x J d G V t P j x J d G V t T G 9 j Y X R p b 2 4 + P E l 0 Z W 1 U e X B l P k Z v c m 1 1 b G E 8 L 0 l 0 Z W 1 U e X B l P j x J d G V t U G F 0 a D 5 T Z W N 0 a W 9 u M S 9 G U 0 Q v Q W F u Z 2 V w Y X N 0 J T I w a X R l b S U y M H R v Z W d l d m 9 l Z 2 Q z P C 9 J d G V t U G F 0 a D 4 8 L 0 l 0 Z W 1 M b 2 N h d G l v b j 4 8 U 3 R h Y m x l R W 5 0 c m l l c y A v P j w v S X R l b T 4 8 S X R l b T 4 8 S X R l b U x v Y 2 F 0 a W 9 u P j x J d G V t V H l w Z T 5 G b 3 J t d W x h P C 9 J d G V t V H l w Z T 4 8 S X R l b V B h d G g + U 2 V j d G l v b j E v R l N E L 1 Z v b 3 J 3 Y W F y Z G V s a W p r Z S U y M G t v b G 9 t J T I w a W 5 n Z X Z v Z W d k M z w v S X R l b V B h d G g + P C 9 J d G V t T G 9 j Y X R p b 2 4 + P F N 0 Y W J s Z U V u d H J p Z X M g L z 4 8 L 0 l 0 Z W 0 + P E l 0 Z W 0 + P E l 0 Z W 1 M b 2 N h d G l v b j 4 8 S X R l b V R 5 c G U + R m 9 y b X V s Y T w v S X R l b V R 5 c G U + P E l 0 Z W 1 Q Y X R o P l N l Y 3 R p b 2 4 x L 0 Z T R C 9 B Y W 5 n Z X B h c 3 Q l M j B p d G V t J T I w d G 9 l Z 2 V 2 b 2 V n Z D Q 8 L 0 l 0 Z W 1 Q Y X R o P j w v S X R l b U x v Y 2 F 0 a W 9 u P j x T d G F i b G V F b n R y a W V z I C 8 + P C 9 J d G V t P j x J d G V t P j x J d G V t T G 9 j Y X R p b 2 4 + P E l 0 Z W 1 U e X B l P k Z v c m 1 1 b G E 8 L 0 l 0 Z W 1 U e X B l P j x J d G V t U G F 0 a D 5 T Z W N 0 a W 9 u M S 9 G U 0 Q v V m 9 v c n d h Y X J k Z W x p a m t l J T I w a 2 9 s b 2 0 l M j B p b m d l d m 9 l Z 2 Q 0 P C 9 J d G V t U G F 0 a D 4 8 L 0 l 0 Z W 1 M b 2 N h d G l v b j 4 8 U 3 R h Y m x l R W 5 0 c m l l c y A v P j w v S X R l b T 4 8 S X R l b T 4 8 S X R l b U x v Y 2 F 0 a W 9 u P j x J d G V t V H l w Z T 5 G b 3 J t d W x h P C 9 J d G V t V H l w Z T 4 8 S X R l b V B h d G g + U 2 V j d G l v b j E v R l N E L 0 F h b m d l c G F z d C U y M G l 0 Z W 0 l M j B 0 b 2 V n Z X Z v Z W d k N T w v S X R l b V B h d G g + P C 9 J d G V t T G 9 j Y X R p b 2 4 + P F N 0 Y W J s Z U V u d H J p Z X M g L z 4 8 L 0 l 0 Z W 0 + P E l 0 Z W 0 + P E l 0 Z W 1 M b 2 N h d G l v b j 4 8 S X R l b V R 5 c G U + R m 9 y b X V s Y T w v S X R l b V R 5 c G U + P E l 0 Z W 1 Q Y X R o P l N l Y 3 R p b 2 4 x L 0 Z T R C 9 W b 2 9 y d 2 F h c m R l b G l q a 2 U l M j B r b 2 x v b S U y M G l u Z 2 V 2 b 2 V n Z D U 8 L 0 l 0 Z W 1 Q Y X R o P j w v S X R l b U x v Y 2 F 0 a W 9 u P j x T d G F i b G V F b n R y a W V z I C 8 + P C 9 J d G V t P j x J d G V t P j x J d G V t T G 9 j Y X R p b 2 4 + P E l 0 Z W 1 U e X B l P k Z v c m 1 1 b G E 8 L 0 l 0 Z W 1 U e X B l P j x J d G V t U G F 0 a D 5 T Z W N 0 a W 9 u M S 9 G U 0 Q v Q W F u Z 2 V w Y X N 0 J T I w a X R l b S U y M H R v Z W d l d m 9 l Z 2 Q 2 P C 9 J d G V t U G F 0 a D 4 8 L 0 l 0 Z W 1 M b 2 N h d G l v b j 4 8 U 3 R h Y m x l R W 5 0 c m l l c y A v P j w v S X R l b T 4 8 S X R l b T 4 8 S X R l b U x v Y 2 F 0 a W 9 u P j x J d G V t V H l w Z T 5 G b 3 J t d W x h P C 9 J d G V t V H l w Z T 4 8 S X R l b V B h d G g + U 2 V j d G l v b j E v R l N E L 1 Z v b 3 J 3 Y W F y Z G V s a W p r Z S U y M G t v b G 9 t J T I w a W 5 n Z X Z v Z W d k N j w v S X R l b V B h d G g + P C 9 J d G V t T G 9 j Y X R p b 2 4 + P F N 0 Y W J s Z U V u d H J p Z X M g L z 4 8 L 0 l 0 Z W 0 + P E l 0 Z W 0 + P E l 0 Z W 1 M b 2 N h d G l v b j 4 8 S X R l b V R 5 c G U + R m 9 y b X V s Y T w v S X R l b V R 5 c G U + P E l 0 Z W 1 Q Y X R o P l N l Y 3 R p b 2 4 x L 0 Z T R C 9 B Y W 5 n Z X B h c 3 Q l M j B p d G V t J T I w d G 9 l Z 2 V 2 b 2 V n Z D c 8 L 0 l 0 Z W 1 Q Y X R o P j w v S X R l b U x v Y 2 F 0 a W 9 u P j x T d G F i b G V F b n R y a W V z I C 8 + P C 9 J d G V t P j x J d G V t P j x J d G V t T G 9 j Y X R p b 2 4 + P E l 0 Z W 1 U e X B l P k Z v c m 1 1 b G E 8 L 0 l 0 Z W 1 U e X B l P j x J d G V t U G F 0 a D 5 T Z W N 0 a W 9 u M S 9 G U 0 Q v V m 9 v c n d h Y X J k Z W x p a m t l J T I w a 2 9 s b 2 0 l M j B p b m d l d m 9 l Z 2 Q 3 P C 9 J d G V t U G F 0 a D 4 8 L 0 l 0 Z W 1 M b 2 N h d G l v b j 4 8 U 3 R h Y m x l R W 5 0 c m l l c y A v P j w v S X R l b T 4 8 S X R l b T 4 8 S X R l b U x v Y 2 F 0 a W 9 u P j x J d G V t V H l w Z T 5 G b 3 J t d W x h P C 9 J d G V t V H l w Z T 4 8 S X R l b V B h d G g + U 2 V j d G l v b j E v R l N E L 0 F h b m d l c G F z d C U y M G l 0 Z W 0 l M j B 0 b 2 V n Z X Z v Z W d k O D w v S X R l b V B h d G g + P C 9 J d G V t T G 9 j Y X R p b 2 4 + P F N 0 Y W J s Z U V u d H J p Z X M g L z 4 8 L 0 l 0 Z W 0 + P E l 0 Z W 0 + P E l 0 Z W 1 M b 2 N h d G l v b j 4 8 S X R l b V R 5 c G U + R m 9 y b X V s Y T w v S X R l b V R 5 c G U + P E l 0 Z W 1 Q Y X R o P l N l Y 3 R p b 2 4 x L 0 Z T R C 9 W b 2 9 y d 2 F h c m R l b G l q a 2 U l M j B r b 2 x v b S U y M G l u Z 2 V 2 b 2 V n Z D g 8 L 0 l 0 Z W 1 Q Y X R o P j w v S X R l b U x v Y 2 F 0 a W 9 u P j x T d G F i b G V F b n R y a W V z I C 8 + P C 9 J d G V t P j x J d G V t P j x J d G V t T G 9 j Y X R p b 2 4 + P E l 0 Z W 1 U e X B l P k Z v c m 1 1 b G E 8 L 0 l 0 Z W 1 U e X B l P j x J d G V t U G F 0 a D 5 T Z W N 0 a W 9 u M S 9 G U 0 Q v Q W F u Z 2 V w Y X N 0 J T I w a X R l b S U y M H R v Z W d l d m 9 l Z 2 Q 5 P C 9 J d G V t U G F 0 a D 4 8 L 0 l 0 Z W 1 M b 2 N h d G l v b j 4 8 U 3 R h Y m x l R W 5 0 c m l l c y A v P j w v S X R l b T 4 8 S X R l b T 4 8 S X R l b U x v Y 2 F 0 a W 9 u P j x J d G V t V H l w Z T 5 G b 3 J t d W x h P C 9 J d G V t V H l w Z T 4 8 S X R l b V B h d G g + U 2 V j d G l v b j E v R l N E L 1 Z v b 3 J 3 Y W F y Z G V s a W p r Z S U y M G t v b G 9 t J T I w a W 5 n Z X Z v Z W d k O T w v S X R l b V B h d G g + P C 9 J d G V t T G 9 j Y X R p b 2 4 + P F N 0 Y W J s Z U V u d H J p Z X M g L z 4 8 L 0 l 0 Z W 0 + P E l 0 Z W 0 + P E l 0 Z W 1 M b 2 N h d G l v b j 4 8 S X R l b V R 5 c G U + R m 9 y b X V s Y T w v S X R l b V R 5 c G U + P E l 0 Z W 1 Q Y X R o P l N l Y 3 R p b 2 4 x L 0 Z T R C 9 B Y W 5 n Z X B h c 3 Q l M j B p d G V t J T I w d G 9 l Z 2 V 2 b 2 V n Z D E w P C 9 J d G V t U G F 0 a D 4 8 L 0 l 0 Z W 1 M b 2 N h d G l v b j 4 8 U 3 R h Y m x l R W 5 0 c m l l c y A v P j w v S X R l b T 4 8 S X R l b T 4 8 S X R l b U x v Y 2 F 0 a W 9 u P j x J d G V t V H l w Z T 5 G b 3 J t d W x h P C 9 J d G V t V H l w Z T 4 8 S X R l b V B h d G g + U 2 V j d G l v b j E v R l N E L 1 Z v b 3 J 3 Y W F y Z G V s a W p r Z S U y M G t v b G 9 t J T I w a W 5 n Z X Z v Z W d k M T A 8 L 0 l 0 Z W 1 Q Y X R o P j w v S X R l b U x v Y 2 F 0 a W 9 u P j x T d G F i b G V F b n R y a W V z I C 8 + P C 9 J d G V t P j x J d G V t P j x J d G V t T G 9 j Y X R p b 2 4 + P E l 0 Z W 1 U e X B l P k Z v c m 1 1 b G E 8 L 0 l 0 Z W 1 U e X B l P j x J d G V t U G F 0 a D 5 T Z W N 0 a W 9 u M S 9 G U 0 Q v Q W F u Z 2 V w Y X N 0 J T I w a X R l b S U y M H R v Z W d l d m 9 l Z 2 Q x M T w v S X R l b V B h d G g + P C 9 J d G V t T G 9 j Y X R p b 2 4 + P F N 0 Y W J s Z U V u d H J p Z X M g L z 4 8 L 0 l 0 Z W 0 + P E l 0 Z W 0 + P E l 0 Z W 1 M b 2 N h d G l v b j 4 8 S X R l b V R 5 c G U + R m 9 y b X V s Y T w v S X R l b V R 5 c G U + P E l 0 Z W 1 Q Y X R o P l N l Y 3 R p b 2 4 x L 0 Z T R C 9 W b 2 9 y d 2 F h c m R l b G l q a 2 U l M j B r b 2 x v b S U y M G l u Z 2 V 2 b 2 V n Z D E x P C 9 J d G V t U G F 0 a D 4 8 L 0 l 0 Z W 1 M b 2 N h d G l v b j 4 8 U 3 R h Y m x l R W 5 0 c m l l c y A v P j w v S X R l b T 4 8 S X R l b T 4 8 S X R l b U x v Y 2 F 0 a W 9 u P j x J d G V t V H l w Z T 5 G b 3 J t d W x h P C 9 J d G V t V H l w Z T 4 8 S X R l b V B h d G g + U 2 V j d G l v b j E v R l N E L 0 F h b m d l c G F z d C U y M G l 0 Z W 0 l M j B 0 b 2 V n Z X Z v Z W d k M T I 8 L 0 l 0 Z W 1 Q Y X R o P j w v S X R l b U x v Y 2 F 0 a W 9 u P j x T d G F i b G V F b n R y a W V z I C 8 + P C 9 J d G V t P j x J d G V t P j x J d G V t T G 9 j Y X R p b 2 4 + P E l 0 Z W 1 U e X B l P k Z v c m 1 1 b G E 8 L 0 l 0 Z W 1 U e X B l P j x J d G V t U G F 0 a D 5 T Z W N 0 a W 9 u M S 9 G U 0 Q v V m 9 v c n d h Y X J k Z W x p a m t l J T I w a 2 9 s b 2 0 l M j B p b m d l d m 9 l Z 2 Q x M j w v S X R l b V B h d G g + P C 9 J d G V t T G 9 j Y X R p b 2 4 + P F N 0 Y W J s Z U V u d H J p Z X M g L z 4 8 L 0 l 0 Z W 0 + P E l 0 Z W 0 + P E l 0 Z W 1 M b 2 N h d G l v b j 4 8 S X R l b V R 5 c G U + R m 9 y b X V s Y T w v S X R l b V R 5 c G U + P E l 0 Z W 1 Q Y X R o P l N l Y 3 R p b 2 4 x L 0 Z T R C 9 B Y W 5 n Z X B h c 3 Q l M j B p d G V t J T I w d G 9 l Z 2 V 2 b 2 V n Z D E z P C 9 J d G V t U G F 0 a D 4 8 L 0 l 0 Z W 1 M b 2 N h d G l v b j 4 8 U 3 R h Y m x l R W 5 0 c m l l c y A v P j w v S X R l b T 4 8 S X R l b T 4 8 S X R l b U x v Y 2 F 0 a W 9 u P j x J d G V t V H l w Z T 5 G b 3 J t d W x h P C 9 J d G V t V H l w Z T 4 8 S X R l b V B h d G g + U 2 V j d G l v b j E v R l N E L 1 Z v b 3 J 3 Y W F y Z G V s a W p r Z S U y M G t v b G 9 t J T I w a W 5 n Z X Z v Z W d k M T M 8 L 0 l 0 Z W 1 Q Y X R o P j w v S X R l b U x v Y 2 F 0 a W 9 u P j x T d G F i b G V F b n R y a W V z I C 8 + P C 9 J d G V t P j x J d G V t P j x J d G V t T G 9 j Y X R p b 2 4 + P E l 0 Z W 1 U e X B l P k Z v c m 1 1 b G E 8 L 0 l 0 Z W 1 U e X B l P j x J d G V t U G F 0 a D 5 T Z W N 0 a W 9 u M S 9 G U 0 Q v Q W F u Z 2 V w Y X N 0 J T I w a X R l b S U y M H R v Z W d l d m 9 l Z 2 Q x N D w v S X R l b V B h d G g + P C 9 J d G V t T G 9 j Y X R p b 2 4 + P F N 0 Y W J s Z U V u d H J p Z X M g L z 4 8 L 0 l 0 Z W 0 + P E l 0 Z W 0 + P E l 0 Z W 1 M b 2 N h d G l v b j 4 8 S X R l b V R 5 c G U + R m 9 y b X V s Y T w v S X R l b V R 5 c G U + P E l 0 Z W 1 Q Y X R o P l N l Y 3 R p b 2 4 x L 0 Z T R C 9 W b 2 9 y d 2 F h c m R l b G l q a 2 U l M j B r b 2 x v b S U y M G l u Z 2 V 2 b 2 V n Z D E 0 P C 9 J d G V t U G F 0 a D 4 8 L 0 l 0 Z W 1 M b 2 N h d G l v b j 4 8 U 3 R h Y m x l R W 5 0 c m l l c y A v P j w v S X R l b T 4 8 S X R l b T 4 8 S X R l b U x v Y 2 F 0 a W 9 u P j x J d G V t V H l w Z T 5 G b 3 J t d W x h P C 9 J d G V t V H l w Z T 4 8 S X R l b V B h d G g + U 2 V j d G l v b j E v R l N E L 0 F h b m d l c G F z d C U y M G l 0 Z W 0 l M j B 0 b 2 V n Z X Z v Z W d k M T U 8 L 0 l 0 Z W 1 Q Y X R o P j w v S X R l b U x v Y 2 F 0 a W 9 u P j x T d G F i b G V F b n R y a W V z I C 8 + P C 9 J d G V t P j x J d G V t P j x J d G V t T G 9 j Y X R p b 2 4 + P E l 0 Z W 1 U e X B l P k Z v c m 1 1 b G E 8 L 0 l 0 Z W 1 U e X B l P j x J d G V t U G F 0 a D 5 T Z W N 0 a W 9 u M S 9 G U 0 Q v V m 9 v c n d h Y X J k Z W x p a m t l J T I w a 2 9 s b 2 0 l M j B p b m d l d m 9 l Z 2 Q x N T w v S X R l b V B h d G g + P C 9 J d G V t T G 9 j Y X R p b 2 4 + P F N 0 Y W J s Z U V u d H J p Z X M g L z 4 8 L 0 l 0 Z W 0 + P E l 0 Z W 0 + P E l 0 Z W 1 M b 2 N h d G l v b j 4 8 S X R l b V R 5 c G U + R m 9 y b X V s Y T w v S X R l b V R 5 c G U + P E l 0 Z W 1 Q Y X R o P l N l Y 3 R p b 2 4 x L 0 Z T R C 9 B Y W 5 n Z X B h c 3 Q l M j B p d G V t J T I w d G 9 l Z 2 V 2 b 2 V n Z D E 2 P C 9 J d G V t U G F 0 a D 4 8 L 0 l 0 Z W 1 M b 2 N h d G l v b j 4 8 U 3 R h Y m x l R W 5 0 c m l l c y A v P j w v S X R l b T 4 8 S X R l b T 4 8 S X R l b U x v Y 2 F 0 a W 9 u P j x J d G V t V H l w Z T 5 G b 3 J t d W x h P C 9 J d G V t V H l w Z T 4 8 S X R l b V B h d G g + U 2 V j d G l v b j E v R l N E L 1 Z v b 3 J 3 Y W F y Z G V s a W p r Z S U y M G t v b G 9 t J T I w a W 5 n Z X Z v Z W d k M T Y 8 L 0 l 0 Z W 1 Q Y X R o P j w v S X R l b U x v Y 2 F 0 a W 9 u P j x T d G F i b G V F b n R y a W V z I C 8 + P C 9 J d G V t P j x J d G V t P j x J d G V t T G 9 j Y X R p b 2 4 + P E l 0 Z W 1 U e X B l P k Z v c m 1 1 b G E 8 L 0 l 0 Z W 1 U e X B l P j x J d G V t U G F 0 a D 5 T Z W N 0 a W 9 u M S 9 G U 0 Q v Q W F u Z 2 V w Y X N 0 J T I w a X R l b S U y M H R v Z W d l d m 9 l Z 2 Q x N z w v S X R l b V B h d G g + P C 9 J d G V t T G 9 j Y X R p b 2 4 + P F N 0 Y W J s Z U V u d H J p Z X M g L z 4 8 L 0 l 0 Z W 0 + P E l 0 Z W 0 + P E l 0 Z W 1 M b 2 N h d G l v b j 4 8 S X R l b V R 5 c G U + R m 9 y b X V s Y T w v S X R l b V R 5 c G U + P E l 0 Z W 1 Q Y X R o P l N l Y 3 R p b 2 4 x L 0 Z T R C 9 W b 2 9 y d 2 F h c m R l b G l q a 2 U l M j B r b 2 x v b S U y M G l u Z 2 V 2 b 2 V n Z D E 3 P C 9 J d G V t U G F 0 a D 4 8 L 0 l 0 Z W 1 M b 2 N h d G l v b j 4 8 U 3 R h Y m x l R W 5 0 c m l l c y A v P j w v S X R l b T 4 8 S X R l b T 4 8 S X R l b U x v Y 2 F 0 a W 9 u P j x J d G V t V H l w Z T 5 G b 3 J t d W x h P C 9 J d G V t V H l w Z T 4 8 S X R l b V B h d G g + U 2 V j d G l v b j E v R l N E L 0 F h b m d l c G F z d C U y M G l 0 Z W 0 l M j B 0 b 2 V n Z X Z v Z W d k M T g 8 L 0 l 0 Z W 1 Q Y X R o P j w v S X R l b U x v Y 2 F 0 a W 9 u P j x T d G F i b G V F b n R y a W V z I C 8 + P C 9 J d G V t P j x J d G V t P j x J d G V t T G 9 j Y X R p b 2 4 + P E l 0 Z W 1 U e X B l P k Z v c m 1 1 b G E 8 L 0 l 0 Z W 1 U e X B l P j x J d G V t U G F 0 a D 5 T Z W N 0 a W 9 u M S 9 G U 0 Q v V m 9 v c n d h Y X J k Z W x p a m t l J T I w a 2 9 s b 2 0 l M j B p b m d l d m 9 l Z 2 Q x O D w v S X R l b V B h d G g + P C 9 J d G V t T G 9 j Y X R p b 2 4 + P F N 0 Y W J s Z U V u d H J p Z X M g L z 4 8 L 0 l 0 Z W 0 + P E l 0 Z W 0 + P E l 0 Z W 1 M b 2 N h d G l v b j 4 8 S X R l b V R 5 c G U + R m 9 y b X V s Y T w v S X R l b V R 5 c G U + P E l 0 Z W 1 Q Y X R o P l N l Y 3 R p b 2 4 x L 0 Z T R C 9 B Y W 5 n Z X B h c 3 Q l M j B p d G V t J T I w d G 9 l Z 2 V 2 b 2 V n Z D E 5 P C 9 J d G V t U G F 0 a D 4 8 L 0 l 0 Z W 1 M b 2 N h d G l v b j 4 8 U 3 R h Y m x l R W 5 0 c m l l c y A v P j w v S X R l b T 4 8 S X R l b T 4 8 S X R l b U x v Y 2 F 0 a W 9 u P j x J d G V t V H l w Z T 5 G b 3 J t d W x h P C 9 J d G V t V H l w Z T 4 8 S X R l b V B h d G g + U 2 V j d G l v b j E v R l N E L 1 Z v b 3 J 3 Y W F y Z G V s a W p r Z S U y M G t v b G 9 t J T I w a W 5 n Z X Z v Z W d k M T k 8 L 0 l 0 Z W 1 Q Y X R o P j w v S X R l b U x v Y 2 F 0 a W 9 u P j x T d G F i b G V F b n R y a W V z I C 8 + P C 9 J d G V t P j x J d G V t P j x J d G V t T G 9 j Y X R p b 2 4 + P E l 0 Z W 1 U e X B l P k Z v c m 1 1 b G E 8 L 0 l 0 Z W 1 U e X B l P j x J d G V t U G F 0 a D 5 T Z W N 0 a W 9 u M S 9 G U 0 Q v Q W F u Z 2 V w Y X N 0 J T I w a X R l b S U y M H R v Z W d l d m 9 l Z 2 Q y M D w v S X R l b V B h d G g + P C 9 J d G V t T G 9 j Y X R p b 2 4 + P F N 0 Y W J s Z U V u d H J p Z X M g L z 4 8 L 0 l 0 Z W 0 + P E l 0 Z W 0 + P E l 0 Z W 1 M b 2 N h d G l v b j 4 8 S X R l b V R 5 c G U + R m 9 y b X V s Y T w v S X R l b V R 5 c G U + P E l 0 Z W 1 Q Y X R o P l N l Y 3 R p b 2 4 x L 0 Z T R C 9 B Y W 5 n Z X B h c 3 Q l M j B p d G V t J T I w d G 9 l Z 2 V 2 b 2 V n Z D I x P C 9 J d G V t U G F 0 a D 4 8 L 0 l 0 Z W 1 M b 2 N h d G l v b j 4 8 U 3 R h Y m x l R W 5 0 c m l l c y A v P j w v S X R l b T 4 8 S X R l b T 4 8 S X R l b U x v Y 2 F 0 a W 9 u P j x J d G V t V H l w Z T 5 G b 3 J t d W x h P C 9 J d G V t V H l w Z T 4 8 S X R l b V B h d G g + U 2 V j d G l v b j E v R l N E L 0 F h b m d l c G F z d C U y M G l 0 Z W 0 l M j B 0 b 2 V n Z X Z v Z W d k M j I 8 L 0 l 0 Z W 1 Q Y X R o P j w v S X R l b U x v Y 2 F 0 a W 9 u P j x T d G F i b G V F b n R y a W V z I C 8 + P C 9 J d G V t P j x J d G V t P j x J d G V t T G 9 j Y X R p b 2 4 + P E l 0 Z W 1 U e X B l P k Z v c m 1 1 b G E 8 L 0 l 0 Z W 1 U e X B l P j x J d G V t U G F 0 a D 5 T Z W N 0 a W 9 u M S 9 G U 0 Q v T m F t Z W 4 l M j B 2 Y W 4 l M j B r b 2 x v b W 1 l b i U y M G d l d 2 l q e m l n Z C U y M D E 8 L 0 l 0 Z W 1 Q Y X R o P j w v S X R l b U x v Y 2 F 0 a W 9 u P j x T d G F i b G V F b n R y a W V z I C 8 + P C 9 J d G V t P j x J d G V t P j x J d G V t T G 9 j Y X R p b 2 4 + P E l 0 Z W 1 U e X B l P k Z v c m 1 1 b G E 8 L 0 l 0 Z W 1 U e X B l P j x J d G V t U G F 0 a D 5 T Z W N 0 a W 9 u M S 9 G U 0 Q v T m F t Z W 4 l M j B 2 Y W 4 l M j B r b 2 x v b W 1 l b i U y M G d l d 2 l q e m l n Z C U y M D I 8 L 0 l 0 Z W 1 Q Y X R o P j w v S X R l b U x v Y 2 F 0 a W 9 u P j x T d G F i b G V F b n R y a W V z I C 8 + P C 9 J d G V t P j x J d G V t P j x J d G V t T G 9 j Y X R p b 2 4 + P E l 0 Z W 1 U e X B l P k Z v c m 1 1 b G E 8 L 0 l 0 Z W 1 U e X B l P j x J d G V t U G F 0 a D 5 T Z W N 0 a W 9 u M S 9 G U 0 Q v S 2 9 s b 2 1 t Z W 4 l M j B 2 Z X J 3 a W p k Z X J k J T I w M T w v S X R l b V B h d G g + P C 9 J d G V t T G 9 j Y X R p b 2 4 + P F N 0 Y W J s Z U V u d H J p Z X M g L z 4 8 L 0 l 0 Z W 0 + P E l 0 Z W 0 + P E l 0 Z W 1 M b 2 N h d G l v b j 4 8 S X R l b V R 5 c G U + R m 9 y b X V s Y T w v S X R l b V R 5 c G U + P E l 0 Z W 1 Q Y X R o P l N l Y 3 R p b 2 4 x L 0 Z T R C 9 B Y W 5 n Z X B h c 3 Q l M j B p d G V t J T I w d G 9 l Z 2 V 2 b 2 V n Z D I 4 P C 9 J d G V t U G F 0 a D 4 8 L 0 l 0 Z W 1 M b 2 N h d G l v b j 4 8 U 3 R h Y m x l R W 5 0 c m l l c y A v P j w v S X R l b T 4 8 S X R l b T 4 8 S X R l b U x v Y 2 F 0 a W 9 u P j x J d G V t V H l w Z T 5 G b 3 J t d W x h P C 9 J d G V t V H l w Z T 4 8 S X R l b V B h d G g + U 2 V j d G l v b j E v R l N E L 0 F h b m d l c G F z d C U y M G l 0 Z W 0 l M j B 0 b 2 V n Z X Z v Z W d k M j k 8 L 0 l 0 Z W 1 Q Y X R o P j w v S X R l b U x v Y 2 F 0 a W 9 u P j x T d G F i b G V F b n R y a W V z I C 8 + P C 9 J d G V t P j x J d G V t P j x J d G V t T G 9 j Y X R p b 2 4 + P E l 0 Z W 1 U e X B l P k Z v c m 1 1 b G E 8 L 0 l 0 Z W 1 U e X B l P j x J d G V t U G F 0 a D 5 T Z W N 0 a W 9 u M S 9 G U 0 Q v Q W F u Z 2 V w Y X N 0 J T I w a X R l b S U y M H R v Z W d l d m 9 l Z 2 Q z M D w v S X R l b V B h d G g + P C 9 J d G V t T G 9 j Y X R p b 2 4 + P F N 0 Y W J s Z U V u d H J p Z X M g L z 4 8 L 0 l 0 Z W 0 + P E l 0 Z W 0 + P E l 0 Z W 1 M b 2 N h d G l v b j 4 8 S X R l b V R 5 c G U + R m 9 y b X V s Y T w v S X R l b V R 5 c G U + P E l 0 Z W 1 Q Y X R o P l N l Y 3 R p b 2 4 x L 0 Z T R C 9 B Y W 5 n Z X B h c 3 Q l M j B p d G V t J T I w d G 9 l Z 2 V 2 b 2 V n Z D M x P C 9 J d G V t U G F 0 a D 4 8 L 0 l 0 Z W 1 M b 2 N h d G l v b j 4 8 U 3 R h Y m x l R W 5 0 c m l l c y A v P j w v S X R l b T 4 8 S X R l b T 4 8 S X R l b U x v Y 2 F 0 a W 9 u P j x J d G V t V H l w Z T 5 G b 3 J t d W x h P C 9 J d G V t V H l w Z T 4 8 S X R l b V B h d G g + U 2 V j d G l v b j E v R l N E L 0 F h b m d l c G F z d C U y M G l 0 Z W 0 l M j B 0 b 2 V n Z X Z v Z W d k M z I 8 L 0 l 0 Z W 1 Q Y X R o P j w v S X R l b U x v Y 2 F 0 a W 9 u P j x T d G F i b G V F b n R y a W V z I C 8 + P C 9 J d G V t P j x J d G V t P j x J d G V t T G 9 j Y X R p b 2 4 + P E l 0 Z W 1 U e X B l P k Z v c m 1 1 b G E 8 L 0 l 0 Z W 1 U e X B l P j x J d G V t U G F 0 a D 5 T Z W N 0 a W 9 u M S 9 G U 0 Q v Q W F u Z 2 V w Y X N 0 J T I w a X R l b S U y M H R v Z W d l d m 9 l Z 2 Q z M z w v S X R l b V B h d G g + P C 9 J d G V t T G 9 j Y X R p b 2 4 + P F N 0 Y W J s Z U V u d H J p Z X M g L z 4 8 L 0 l 0 Z W 0 + P E l 0 Z W 0 + P E l 0 Z W 1 M b 2 N h d G l v b j 4 8 S X R l b V R 5 c G U + R m 9 y b X V s Y T w v S X R l b V R 5 c G U + P E l 0 Z W 1 Q Y X R o P l N l Y 3 R p b 2 4 x L 0 Z T R C 9 B Y W 5 n Z X B h c 3 Q l M j B p d G V t J T I w d G 9 l Z 2 V 2 b 2 V n Z D M 0 P C 9 J d G V t U G F 0 a D 4 8 L 0 l 0 Z W 1 M b 2 N h d G l v b j 4 8 U 3 R h Y m x l R W 5 0 c m l l c y A v P j w v S X R l b T 4 8 S X R l b T 4 8 S X R l b U x v Y 2 F 0 a W 9 u P j x J d G V t V H l w Z T 5 G b 3 J t d W x h P C 9 J d G V t V H l w Z T 4 8 S X R l b V B h d G g + U 2 V j d G l v b j E v R l N E L 0 F h b m d l c G F z d C U y M G l 0 Z W 0 l M j B 0 b 2 V n Z X Z v Z W d k M z U 8 L 0 l 0 Z W 1 Q Y X R o P j w v S X R l b U x v Y 2 F 0 a W 9 u P j x T d G F i b G V F b n R y a W V z I C 8 + P C 9 J d G V t P j x J d G V t P j x J d G V t T G 9 j Y X R p b 2 4 + P E l 0 Z W 1 U e X B l P k Z v c m 1 1 b G E 8 L 0 l 0 Z W 1 U e X B l P j x J d G V t U G F 0 a D 5 T Z W N 0 a W 9 u M S 9 G U 0 Q v Q W F u Z 2 V w Y X N 0 J T I w a X R l b S U y M H R v Z W d l d m 9 l Z 2 Q z N j w v S X R l b V B h d G g + P C 9 J d G V t T G 9 j Y X R p b 2 4 + P F N 0 Y W J s Z U V u d H J p Z X M g L z 4 8 L 0 l 0 Z W 0 + P E l 0 Z W 0 + P E l 0 Z W 1 M b 2 N h d G l v b j 4 8 S X R l b V R 5 c G U + R m 9 y b X V s Y T w v S X R l b V R 5 c G U + P E l 0 Z W 1 Q Y X R o P l N l Y 3 R p b 2 4 x L 0 Z T R C 9 B Y W 5 n Z X B h c 3 Q l M j B p d G V t J T I w d G 9 l Z 2 V 2 b 2 V n Z D M 3 P C 9 J d G V t U G F 0 a D 4 8 L 0 l 0 Z W 1 M b 2 N h d G l v b j 4 8 U 3 R h Y m x l R W 5 0 c m l l c y A v P j w v S X R l b T 4 8 S X R l b T 4 8 S X R l b U x v Y 2 F 0 a W 9 u P j x J d G V t V H l w Z T 5 G b 3 J t d W x h P C 9 J d G V t V H l w Z T 4 8 S X R l b V B h d G g + U 2 V j d G l v b j E v R l N E L 0 F h b m d l c G F z d C U y M G l 0 Z W 0 l M j B 0 b 2 V n Z X Z v Z W d k M z g 8 L 0 l 0 Z W 1 Q Y X R o P j w v S X R l b U x v Y 2 F 0 a W 9 u P j x T d G F i b G V F b n R y a W V z I C 8 + P C 9 J d G V t P j x J d G V t P j x J d G V t T G 9 j Y X R p b 2 4 + P E l 0 Z W 1 U e X B l P k Z v c m 1 1 b G E 8 L 0 l 0 Z W 1 U e X B l P j x J d G V t U G F 0 a D 5 T Z W N 0 a W 9 u M S 9 G U 0 Q v Q W F u Z 2 V w Y X N 0 J T I w a X R l b S U y M H R v Z W d l d m 9 l Z 2 Q z O T w v S X R l b V B h d G g + P C 9 J d G V t T G 9 j Y X R p b 2 4 + P F N 0 Y W J s Z U V u d H J p Z X M g L z 4 8 L 0 l 0 Z W 0 + P E l 0 Z W 0 + P E l 0 Z W 1 M b 2 N h d G l v b j 4 8 S X R l b V R 5 c G U + R m 9 y b X V s Y T w v S X R l b V R 5 c G U + P E l 0 Z W 1 Q Y X R o P l N l Y 3 R p b 2 4 x L 0 Z T R C 9 B Y W 5 n Z X B h c 3 Q l M j B p d G V t J T I w d G 9 l Z 2 V 2 b 2 V n Z D Q w P C 9 J d G V t U G F 0 a D 4 8 L 0 l 0 Z W 1 M b 2 N h d G l v b j 4 8 U 3 R h Y m x l R W 5 0 c m l l c y A v P j w v S X R l b T 4 8 S X R l b T 4 8 S X R l b U x v Y 2 F 0 a W 9 u P j x J d G V t V H l w Z T 5 G b 3 J t d W x h P C 9 J d G V t V H l w Z T 4 8 S X R l b V B h d G g + U 2 V j d G l v b j E v R l N E L 0 F h b m d l c G F z d C U y M G l 0 Z W 0 l M j B 0 b 2 V n Z X Z v Z W d k N D E 8 L 0 l 0 Z W 1 Q Y X R o P j w v S X R l b U x v Y 2 F 0 a W 9 u P j x T d G F i b G V F b n R y a W V z I C 8 + P C 9 J d G V t P j x J d G V t P j x J d G V t T G 9 j Y X R p b 2 4 + P E l 0 Z W 1 U e X B l P k Z v c m 1 1 b G E 8 L 0 l 0 Z W 1 U e X B l P j x J d G V t U G F 0 a D 5 T Z W N 0 a W 9 u M S 9 G U 0 Q v Q W F u Z 2 V w Y X N 0 J T I w a X R l b S U y M H R v Z W d l d m 9 l Z 2 Q 0 M j w v S X R l b V B h d G g + P C 9 J d G V t T G 9 j Y X R p b 2 4 + P F N 0 Y W J s Z U V u d H J p Z X M g L z 4 8 L 0 l 0 Z W 0 + P E l 0 Z W 0 + P E l 0 Z W 1 M b 2 N h d G l v b j 4 8 S X R l b V R 5 c G U + R m 9 y b X V s Y T w v S X R l b V R 5 c G U + P E l 0 Z W 1 Q Y X R o P l N l Y 3 R p b 2 4 x L 0 Z T R C 9 B Y W 5 n Z X B h c 3 Q l M j B p d G V t J T I w d G 9 l Z 2 V 2 b 2 V n Z D Q z P C 9 J d G V t U G F 0 a D 4 8 L 0 l 0 Z W 1 M b 2 N h d G l v b j 4 8 U 3 R h Y m x l R W 5 0 c m l l c y A v P j w v S X R l b T 4 8 S X R l b T 4 8 S X R l b U x v Y 2 F 0 a W 9 u P j x J d G V t V H l w Z T 5 G b 3 J t d W x h P C 9 J d G V t V H l w Z T 4 8 S X R l b V B h d G g + U 2 V j d G l v b j E v R l N E L 0 F h b m d l c G F z d C U y M G l 0 Z W 0 l M j B 0 b 2 V n Z X Z v Z W d k N D Q 8 L 0 l 0 Z W 1 Q Y X R o P j w v S X R l b U x v Y 2 F 0 a W 9 u P j x T d G F i b G V F b n R y a W V z I C 8 + P C 9 J d G V t P j x J d G V t P j x J d G V t T G 9 j Y X R p b 2 4 + P E l 0 Z W 1 U e X B l P k Z v c m 1 1 b G E 8 L 0 l 0 Z W 1 U e X B l P j x J d G V t U G F 0 a D 5 T Z W N 0 a W 9 u M S 9 G U 0 Q v Q W F u Z 2 V w Y X N 0 J T I w a X R l b S U y M H R v Z W d l d m 9 l Z 2 Q 0 N T w v S X R l b V B h d G g + P C 9 J d G V t T G 9 j Y X R p b 2 4 + P F N 0 Y W J s Z U V u d H J p Z X M g L z 4 8 L 0 l 0 Z W 0 + P E l 0 Z W 0 + P E l 0 Z W 1 M b 2 N h d G l v b j 4 8 S X R l b V R 5 c G U + R m 9 y b X V s Y T w v S X R l b V R 5 c G U + P E l 0 Z W 1 Q Y X R o P l N l Y 3 R p b 2 4 x L 0 Z T R C 9 B Y W 5 n Z X B h c 3 Q l M j B p d G V t J T I w d G 9 l Z 2 V 2 b 2 V n Z D Q 2 P C 9 J d G V t U G F 0 a D 4 8 L 0 l 0 Z W 1 M b 2 N h d G l v b j 4 8 U 3 R h Y m x l R W 5 0 c m l l c y A v P j w v S X R l b T 4 8 S X R l b T 4 8 S X R l b U x v Y 2 F 0 a W 9 u P j x J d G V t V H l w Z T 5 G b 3 J t d W x h P C 9 J d G V t V H l w Z T 4 8 S X R l b V B h d G g + U 2 V j d G l v b j E v R l N E L 0 F h b m d l c G F z d C U y M G l 0 Z W 0 l M j B 0 b 2 V n Z X Z v Z W d k N D c 8 L 0 l 0 Z W 1 Q Y X R o P j w v S X R l b U x v Y 2 F 0 a W 9 u P j x T d G F i b G V F b n R y a W V z I C 8 + P C 9 J d G V t P j x J d G V t P j x J d G V t T G 9 j Y X R p b 2 4 + P E l 0 Z W 1 U e X B l P k Z v c m 1 1 b G E 8 L 0 l 0 Z W 1 U e X B l P j x J d G V t U G F 0 a D 5 T Z W N 0 a W 9 u M S 9 G U 0 Q v Q W F u Z 2 V w Y X N 0 J T I w a X R l b S U y M H R v Z W d l d m 9 l Z 2 Q 0 O D w v S X R l b V B h d G g + P C 9 J d G V t T G 9 j Y X R p b 2 4 + P F N 0 Y W J s Z U V u d H J p Z X M g L z 4 8 L 0 l 0 Z W 0 + P E l 0 Z W 0 + P E l 0 Z W 1 M b 2 N h d G l v b j 4 8 S X R l b V R 5 c G U + R m 9 y b X V s Y T w v S X R l b V R 5 c G U + P E l 0 Z W 1 Q Y X R o P l N l Y 3 R p b 2 4 x L 0 Z T R C 9 B Y W 5 n Z X B h c 3 Q l M j B p d G V t J T I w d G 9 l Z 2 V 2 b 2 V n Z D Q 5 P C 9 J d G V t U G F 0 a D 4 8 L 0 l 0 Z W 1 M b 2 N h d G l v b j 4 8 U 3 R h Y m x l R W 5 0 c m l l c y A v P j w v S X R l b T 4 8 S X R l b T 4 8 S X R l b U x v Y 2 F 0 a W 9 u P j x J d G V t V H l w Z T 5 G b 3 J t d W x h P C 9 J d G V t V H l w Z T 4 8 S X R l b V B h d G g + U 2 V j d G l v b j E v R l N E L 0 F h b m d l c G F z d C U y M G l 0 Z W 0 l M j B 0 b 2 V n Z X Z v Z W d k N T A 8 L 0 l 0 Z W 1 Q Y X R o P j w v S X R l b U x v Y 2 F 0 a W 9 u P j x T d G F i b G V F b n R y a W V z I C 8 + P C 9 J d G V t P j x J d G V t P j x J d G V t T G 9 j Y X R p b 2 4 + P E l 0 Z W 1 U e X B l P k Z v c m 1 1 b G E 8 L 0 l 0 Z W 1 U e X B l P j x J d G V t U G F 0 a D 5 T Z W N 0 a W 9 u M S 9 G U 0 Q v Q W F u Z 2 V w Y X N 0 J T I w a X R l b S U y M H R v Z W d l d m 9 l Z 2 Q 1 M T w v S X R l b V B h d G g + P C 9 J d G V t T G 9 j Y X R p b 2 4 + P F N 0 Y W J s Z U V u d H J p Z X M g L z 4 8 L 0 l 0 Z W 0 + P E l 0 Z W 0 + P E l 0 Z W 1 M b 2 N h d G l v b j 4 8 S X R l b V R 5 c G U + R m 9 y b X V s Y T w v S X R l b V R 5 c G U + P E l 0 Z W 1 Q Y X R o P l N l Y 3 R p b 2 4 x L 0 Z T R C 9 B Y W 5 n Z X B h c 3 Q l M j B p d G V t J T I w d G 9 l Z 2 V 2 b 2 V n Z D U y P C 9 J d G V t U G F 0 a D 4 8 L 0 l 0 Z W 1 M b 2 N h d G l v b j 4 8 U 3 R h Y m x l R W 5 0 c m l l c y A v P j w v S X R l b T 4 8 S X R l b T 4 8 S X R l b U x v Y 2 F 0 a W 9 u P j x J d G V t V H l w Z T 5 G b 3 J t d W x h P C 9 J d G V t V H l w Z T 4 8 S X R l b V B h d G g + U 2 V j d G l v b j E v R l N E L 0 F h b m d l c G F z d C U y M G l 0 Z W 0 l M j B 0 b 2 V n Z X Z v Z W d k N T M 8 L 0 l 0 Z W 1 Q Y X R o P j w v S X R l b U x v Y 2 F 0 a W 9 u P j x T d G F i b G V F b n R y a W V z I C 8 + P C 9 J d G V t P j x J d G V t P j x J d G V t T G 9 j Y X R p b 2 4 + P E l 0 Z W 1 U e X B l P k Z v c m 1 1 b G E 8 L 0 l 0 Z W 1 U e X B l P j x J d G V t U G F 0 a D 5 T Z W N 0 a W 9 u M S 9 G U 0 Q v Q W F u Z 2 V w Y X N 0 J T I w a X R l b S U y M H R v Z W d l d m 9 l Z 2 Q 1 N D w v S X R l b V B h d G g + P C 9 J d G V t T G 9 j Y X R p b 2 4 + P F N 0 Y W J s Z U V u d H J p Z X M g L z 4 8 L 0 l 0 Z W 0 + P E l 0 Z W 0 + P E l 0 Z W 1 M b 2 N h d G l v b j 4 8 S X R l b V R 5 c G U + R m 9 y b X V s Y T w v S X R l b V R 5 c G U + P E l 0 Z W 1 Q Y X R o P l N l Y 3 R p b 2 4 x L 0 Z T R C 9 B Y W 5 n Z X B h c 3 Q l M j B p d G V t J T I w d G 9 l Z 2 V 2 b 2 V n Z D U 1 P C 9 J d G V t U G F 0 a D 4 8 L 0 l 0 Z W 1 M b 2 N h d G l v b j 4 8 U 3 R h Y m x l R W 5 0 c m l l c y A v P j w v S X R l b T 4 8 S X R l b T 4 8 S X R l b U x v Y 2 F 0 a W 9 u P j x J d G V t V H l w Z T 5 G b 3 J t d W x h P C 9 J d G V t V H l w Z T 4 8 S X R l b V B h d G g + U 2 V j d G l v b j E v R l N E L 0 F h b m d l c G F z d C U y M G l 0 Z W 0 l M j B 0 b 2 V n Z X Z v Z W d k N T Y 8 L 0 l 0 Z W 1 Q Y X R o P j w v S X R l b U x v Y 2 F 0 a W 9 u P j x T d G F i b G V F b n R y a W V z I C 8 + P C 9 J d G V t P j x J d G V t P j x J d G V t T G 9 j Y X R p b 2 4 + P E l 0 Z W 1 U e X B l P k Z v c m 1 1 b G E 8 L 0 l 0 Z W 1 U e X B l P j x J d G V t U G F 0 a D 5 T Z W N 0 a W 9 u M S 9 G U 0 Q v Q W F u Z 2 V w Y X N 0 J T I w a X R l b S U y M H R v Z W d l d m 9 l Z 2 Q 1 N z w v S X R l b V B h d G g + P C 9 J d G V t T G 9 j Y X R p b 2 4 + P F N 0 Y W J s Z U V u d H J p Z X M g L z 4 8 L 0 l 0 Z W 0 + P E l 0 Z W 0 + P E l 0 Z W 1 M b 2 N h d G l v b j 4 8 S X R l b V R 5 c G U + R m 9 y b X V s Y T w v S X R l b V R 5 c G U + P E l 0 Z W 1 Q Y X R o P l N l Y 3 R p b 2 4 x L 0 Z T R C 9 W b 2 9 y d 2 F h c m R l b G l q a 2 U l M j B r b 2 x v b S U y M G l u Z 2 V 2 b 2 V n Z D M w P C 9 J d G V t U G F 0 a D 4 8 L 0 l 0 Z W 1 M b 2 N h d G l v b j 4 8 U 3 R h Y m x l R W 5 0 c m l l c y A v P j w v S X R l b T 4 8 S X R l b T 4 8 S X R l b U x v Y 2 F 0 a W 9 u P j x J d G V t V H l w Z T 5 G b 3 J t d W x h P C 9 J d G V t V H l w Z T 4 8 S X R l b V B h d G g + U 2 V j d G l v b j E v R l N E L 1 Z v b 3 J 3 Y W F y Z G V s a W p r Z S U y M G t v b G 9 t J T I w a W 5 n Z X Z v Z W d k M z E 8 L 0 l 0 Z W 1 Q Y X R o P j w v S X R l b U x v Y 2 F 0 a W 9 u P j x T d G F i b G V F b n R y a W V z I C 8 + P C 9 J d G V t P j x J d G V t P j x J d G V t T G 9 j Y X R p b 2 4 + P E l 0 Z W 1 U e X B l P k Z v c m 1 1 b G E 8 L 0 l 0 Z W 1 U e X B l P j x J d G V t U G F 0 a D 5 T Z W N 0 a W 9 u M S 9 G U 0 Q v V m 9 v c n d h Y X J k Z W x p a m t l J T I w a 2 9 s b 2 0 l M j B p b m d l d m 9 l Z 2 Q z M j w v S X R l b V B h d G g + P C 9 J d G V t T G 9 j Y X R p b 2 4 + P F N 0 Y W J s Z U V u d H J p Z X M g L z 4 8 L 0 l 0 Z W 0 + P E l 0 Z W 0 + P E l 0 Z W 1 M b 2 N h d G l v b j 4 8 S X R l b V R 5 c G U + R m 9 y b X V s Y T w v S X R l b V R 5 c G U + P E l 0 Z W 1 Q Y X R o P l N l Y 3 R p b 2 4 x L 0 Z T R C 9 W b 2 9 y d 2 F h c m R l b G l q a 2 U l M j B r b 2 x v b S U y M G l u Z 2 V 2 b 2 V n Z D M z P C 9 J d G V t U G F 0 a D 4 8 L 0 l 0 Z W 1 M b 2 N h d G l v b j 4 8 U 3 R h Y m x l R W 5 0 c m l l c y A v P j w v S X R l b T 4 8 S X R l b T 4 8 S X R l b U x v Y 2 F 0 a W 9 u P j x J d G V t V H l w Z T 5 G b 3 J t d W x h P C 9 J d G V t V H l w Z T 4 8 S X R l b V B h d G g + U 2 V j d G l v b j E v R l N E L 1 Z v b 3 J 3 Y W F y Z G V s a W p r Z S U y M G t v b G 9 t J T I w a W 5 n Z X Z v Z W d k M z Q 8 L 0 l 0 Z W 1 Q Y X R o P j w v S X R l b U x v Y 2 F 0 a W 9 u P j x T d G F i b G V F b n R y a W V z I C 8 + P C 9 J d G V t P j x J d G V t P j x J d G V t T G 9 j Y X R p b 2 4 + P E l 0 Z W 1 U e X B l P k Z v c m 1 1 b G E 8 L 0 l 0 Z W 1 U e X B l P j x J d G V t U G F 0 a D 5 T Z W N 0 a W 9 u M S 9 G U 0 Q v V m 9 v c n d h Y X J k Z W x p a m t l J T I w a 2 9 s b 2 0 l M j B p b m d l d m 9 l Z 2 Q z N T w v S X R l b V B h d G g + P C 9 J d G V t T G 9 j Y X R p b 2 4 + P F N 0 Y W J s Z U V u d H J p Z X M g L z 4 8 L 0 l 0 Z W 0 + P E l 0 Z W 0 + P E l 0 Z W 1 M b 2 N h d G l v b j 4 8 S X R l b V R 5 c G U + R m 9 y b X V s Y T w v S X R l b V R 5 c G U + P E l 0 Z W 1 Q Y X R o P l N l Y 3 R p b 2 4 x L 0 Z T R C 9 W b 2 9 y d 2 F h c m R l b G l q a 2 U l M j B r b 2 x v b S U y M G l u Z 2 V 2 b 2 V n Z D M 2 P C 9 J d G V t U G F 0 a D 4 8 L 0 l 0 Z W 1 M b 2 N h d G l v b j 4 8 U 3 R h Y m x l R W 5 0 c m l l c y A v P j w v S X R l b T 4 8 S X R l b T 4 8 S X R l b U x v Y 2 F 0 a W 9 u P j x J d G V t V H l w Z T 5 G b 3 J t d W x h P C 9 J d G V t V H l w Z T 4 8 S X R l b V B h d G g + U 2 V j d G l v b j E v R l N E L 1 Z v b 3 J 3 Y W F y Z G V s a W p r Z S U y M G t v b G 9 t J T I w a W 5 n Z X Z v Z W d k M z c 8 L 0 l 0 Z W 1 Q Y X R o P j w v S X R l b U x v Y 2 F 0 a W 9 u P j x T d G F i b G V F b n R y a W V z I C 8 + P C 9 J d G V t P j x J d G V t P j x J d G V t T G 9 j Y X R p b 2 4 + P E l 0 Z W 1 U e X B l P k Z v c m 1 1 b G E 8 L 0 l 0 Z W 1 U e X B l P j x J d G V t U G F 0 a D 5 T Z W N 0 a W 9 u M S 9 G U 0 Q v V m 9 v c n d h Y X J k Z W x p a m t l J T I w a 2 9 s b 2 0 l M j B p b m d l d m 9 l Z 2 Q z O D w v S X R l b V B h d G g + P C 9 J d G V t T G 9 j Y X R p b 2 4 + P F N 0 Y W J s Z U V u d H J p Z X M g L z 4 8 L 0 l 0 Z W 0 + P E l 0 Z W 0 + P E l 0 Z W 1 M b 2 N h d G l v b j 4 8 S X R l b V R 5 c G U + R m 9 y b X V s Y T w v S X R l b V R 5 c G U + P E l 0 Z W 1 Q Y X R o P l N l Y 3 R p b 2 4 x L 0 Z T R C 9 W b 2 9 y d 2 F h c m R l b G l q a 2 U l M j B r b 2 x v b S U y M G l u Z 2 V 2 b 2 V n Z D M 5 P C 9 J d G V t U G F 0 a D 4 8 L 0 l 0 Z W 1 M b 2 N h d G l v b j 4 8 U 3 R h Y m x l R W 5 0 c m l l c y A v P j w v S X R l b T 4 8 S X R l b T 4 8 S X R l b U x v Y 2 F 0 a W 9 u P j x J d G V t V H l w Z T 5 G b 3 J t d W x h P C 9 J d G V t V H l w Z T 4 8 S X R l b V B h d G g + U 2 V j d G l v b j E v R l N E L 1 Z v b 3 J 3 Y W F y Z G V s a W p r Z S U y M G t v b G 9 t J T I w a W 5 n Z X Z v Z W d k N D A 8 L 0 l 0 Z W 1 Q Y X R o P j w v S X R l b U x v Y 2 F 0 a W 9 u P j x T d G F i b G V F b n R y a W V z I C 8 + P C 9 J d G V t P j x J d G V t P j x J d G V t T G 9 j Y X R p b 2 4 + P E l 0 Z W 1 U e X B l P k Z v c m 1 1 b G E 8 L 0 l 0 Z W 1 U e X B l P j x J d G V t U G F 0 a D 5 T Z W N 0 a W 9 u M S 9 G U 0 Q v V m 9 v c n d h Y X J k Z W x p a m t l J T I w a 2 9 s b 2 0 l M j B p b m d l d m 9 l Z 2 Q 0 M T w v S X R l b V B h d G g + P C 9 J d G V t T G 9 j Y X R p b 2 4 + P F N 0 Y W J s Z U V u d H J p Z X M g L z 4 8 L 0 l 0 Z W 0 + P E l 0 Z W 0 + P E l 0 Z W 1 M b 2 N h d G l v b j 4 8 S X R l b V R 5 c G U + R m 9 y b X V s Y T w v S X R l b V R 5 c G U + P E l 0 Z W 1 Q Y X R o P l N l Y 3 R p b 2 4 x L 0 Z T R C 9 W b 2 9 y d 2 F h c m R l b G l q a 2 U l M j B r b 2 x v b S U y M G l u Z 2 V 2 b 2 V n Z D Q y P C 9 J d G V t U G F 0 a D 4 8 L 0 l 0 Z W 1 M b 2 N h d G l v b j 4 8 U 3 R h Y m x l R W 5 0 c m l l c y A v P j w v S X R l b T 4 8 S X R l b T 4 8 S X R l b U x v Y 2 F 0 a W 9 u P j x J d G V t V H l w Z T 5 G b 3 J t d W x h P C 9 J d G V t V H l w Z T 4 8 S X R l b V B h d G g + U 2 V j d G l v b j E v R l N E L 1 Z v b 3 J 3 Y W F y Z G V s a W p r Z S U y M G t v b G 9 t J T I w a W 5 n Z X Z v Z W d k N D M 8 L 0 l 0 Z W 1 Q Y X R o P j w v S X R l b U x v Y 2 F 0 a W 9 u P j x T d G F i b G V F b n R y a W V z I C 8 + P C 9 J d G V t P j x J d G V t P j x J d G V t T G 9 j Y X R p b 2 4 + P E l 0 Z W 1 U e X B l P k Z v c m 1 1 b G E 8 L 0 l 0 Z W 1 U e X B l P j x J d G V t U G F 0 a D 5 T Z W N 0 a W 9 u M S 9 G U 0 Q v V m 9 v c n d h Y X J k Z W x p a m t l J T I w a 2 9 s b 2 0 l M j B p b m d l d m 9 l Z 2 Q 0 N D w v S X R l b V B h d G g + P C 9 J d G V t T G 9 j Y X R p b 2 4 + P F N 0 Y W J s Z U V u d H J p Z X M g L z 4 8 L 0 l 0 Z W 0 + P E l 0 Z W 0 + P E l 0 Z W 1 M b 2 N h d G l v b j 4 8 S X R l b V R 5 c G U + R m 9 y b X V s Y T w v S X R l b V R 5 c G U + P E l 0 Z W 1 Q Y X R o P l N l Y 3 R p b 2 4 x L 0 Z T R C 9 W b 2 9 y d 2 F h c m R l b G l q a 2 U l M j B r b 2 x v b S U y M G l u Z 2 V 2 b 2 V n Z D Q 1 P C 9 J d G V t U G F 0 a D 4 8 L 0 l 0 Z W 1 M b 2 N h d G l v b j 4 8 U 3 R h Y m x l R W 5 0 c m l l c y A v P j w v S X R l b T 4 8 S X R l b T 4 8 S X R l b U x v Y 2 F 0 a W 9 u P j x J d G V t V H l w Z T 5 G b 3 J t d W x h P C 9 J d G V t V H l w Z T 4 8 S X R l b V B h d G g + U 2 V j d G l v b j E v R l N E L 1 Z v b 3 J 3 Y W F y Z G V s a W p r Z S U y M G t v b G 9 t J T I w a W 5 n Z X Z v Z W d k N D Y 8 L 0 l 0 Z W 1 Q Y X R o P j w v S X R l b U x v Y 2 F 0 a W 9 u P j x T d G F i b G V F b n R y a W V z I C 8 + P C 9 J d G V t P j x J d G V t P j x J d G V t T G 9 j Y X R p b 2 4 + P E l 0 Z W 1 U e X B l P k Z v c m 1 1 b G E 8 L 0 l 0 Z W 1 U e X B l P j x J d G V t U G F 0 a D 5 T Z W N 0 a W 9 u M S 9 G U 0 Q v V m 9 v c n d h Y X J k Z W x p a m t l J T I w a 2 9 s b 2 0 l M j B p b m d l d m 9 l Z 2 Q 0 N z w v S X R l b V B h d G g + P C 9 J d G V t T G 9 j Y X R p b 2 4 + P F N 0 Y W J s Z U V u d H J p Z X M g L z 4 8 L 0 l 0 Z W 0 + P E l 0 Z W 0 + P E l 0 Z W 1 M b 2 N h d G l v b j 4 8 S X R l b V R 5 c G U + R m 9 y b X V s Y T w v S X R l b V R 5 c G U + P E l 0 Z W 1 Q Y X R o P l N l Y 3 R p b 2 4 x L 0 Z T R C 9 W b 2 9 y d 2 F h c m R l b G l q a 2 U l M j B r b 2 x v b S U y M G l u Z 2 V 2 b 2 V n Z D Q 4 P C 9 J d G V t U G F 0 a D 4 8 L 0 l 0 Z W 1 M b 2 N h d G l v b j 4 8 U 3 R h Y m x l R W 5 0 c m l l c y A v P j w v S X R l b T 4 8 S X R l b T 4 8 S X R l b U x v Y 2 F 0 a W 9 u P j x J d G V t V H l w Z T 5 G b 3 J t d W x h P C 9 J d G V t V H l w Z T 4 8 S X R l b V B h d G g + U 2 V j d G l v b j E v R l N E L 1 Z v b 3 J 3 Y W F y Z G V s a W p r Z S U y M G t v b G 9 t J T I w a W 5 n Z X Z v Z W d k N D k 8 L 0 l 0 Z W 1 Q Y X R o P j w v S X R l b U x v Y 2 F 0 a W 9 u P j x T d G F i b G V F b n R y a W V z I C 8 + P C 9 J d G V t P j x J d G V t P j x J d G V t T G 9 j Y X R p b 2 4 + P E l 0 Z W 1 U e X B l P k Z v c m 1 1 b G E 8 L 0 l 0 Z W 1 U e X B l P j x J d G V t U G F 0 a D 5 T Z W N 0 a W 9 u M S 9 G U 0 Q v V m 9 v c n d h Y X J k Z W x p a m t l J T I w a 2 9 s b 2 0 l M j B p b m d l d m 9 l Z 2 Q 1 M D w v S X R l b V B h d G g + P C 9 J d G V t T G 9 j Y X R p b 2 4 + P F N 0 Y W J s Z U V u d H J p Z X M g L z 4 8 L 0 l 0 Z W 0 + P E l 0 Z W 0 + P E l 0 Z W 1 M b 2 N h d G l v b j 4 8 S X R l b V R 5 c G U + R m 9 y b X V s Y T w v S X R l b V R 5 c G U + P E l 0 Z W 1 Q Y X R o P l N l Y 3 R p b 2 4 x L 0 Z T R C 9 W b 2 9 y d 2 F h c m R l b G l q a 2 U l M j B r b 2 x v b S U y M G l u Z 2 V 2 b 2 V n Z D U x P C 9 J d G V t U G F 0 a D 4 8 L 0 l 0 Z W 1 M b 2 N h d G l v b j 4 8 U 3 R h Y m x l R W 5 0 c m l l c y A v P j w v S X R l b T 4 8 S X R l b T 4 8 S X R l b U x v Y 2 F 0 a W 9 u P j x J d G V t V H l w Z T 5 G b 3 J t d W x h P C 9 J d G V t V H l w Z T 4 8 S X R l b V B h d G g + U 2 V j d G l v b j E v R l N E L 1 Z v b 3 J 3 Y W F y Z G V s a W p r Z S U y M G t v b G 9 t J T I w a W 5 n Z X Z v Z W d k N T I 8 L 0 l 0 Z W 1 Q Y X R o P j w v S X R l b U x v Y 2 F 0 a W 9 u P j x T d G F i b G V F b n R y a W V z I C 8 + P C 9 J d G V t P j x J d G V t P j x J d G V t T G 9 j Y X R p b 2 4 + P E l 0 Z W 1 U e X B l P k Z v c m 1 1 b G E 8 L 0 l 0 Z W 1 U e X B l P j x J d G V t U G F 0 a D 5 T Z W N 0 a W 9 u M S 9 G U 0 Q v V m 9 v c n d h Y X J k Z W x p a m t l J T I w a 2 9 s b 2 0 l M j B p b m d l d m 9 l Z 2 Q 1 M z w v S X R l b V B h d G g + P C 9 J d G V t T G 9 j Y X R p b 2 4 + P F N 0 Y W J s Z U V u d H J p Z X M g L z 4 8 L 0 l 0 Z W 0 + P E l 0 Z W 0 + P E l 0 Z W 1 M b 2 N h d G l v b j 4 8 S X R l b V R 5 c G U + R m 9 y b X V s Y T w v S X R l b V R 5 c G U + P E l 0 Z W 1 Q Y X R o P l N l Y 3 R p b 2 4 x L 0 Z T R C 9 W b 2 9 y d 2 F h c m R l b G l q a 2 U l M j B r b 2 x v b S U y M G l u Z 2 V 2 b 2 V n Z D U 0 P C 9 J d G V t U G F 0 a D 4 8 L 0 l 0 Z W 1 M b 2 N h d G l v b j 4 8 U 3 R h Y m x l R W 5 0 c m l l c y A v P j w v S X R l b T 4 8 S X R l b T 4 8 S X R l b U x v Y 2 F 0 a W 9 u P j x J d G V t V H l w Z T 5 G b 3 J t d W x h P C 9 J d G V t V H l w Z T 4 8 S X R l b V B h d G g + U 2 V j d G l v b j E v R l N E L 1 Z v b 3 J 3 Y W F y Z G V s a W p r Z S U y M G t v b G 9 t J T I w a W 5 n Z X Z v Z W d k N T U 8 L 0 l 0 Z W 1 Q Y X R o P j w v S X R l b U x v Y 2 F 0 a W 9 u P j x T d G F i b G V F b n R y a W V z I C 8 + P C 9 J d G V t P j x J d G V t P j x J d G V t T G 9 j Y X R p b 2 4 + P E l 0 Z W 1 U e X B l P k Z v c m 1 1 b G E 8 L 0 l 0 Z W 1 U e X B l P j x J d G V t U G F 0 a D 5 T Z W N 0 a W 9 u M S 9 G U 0 Q v V m 9 v c n d h Y X J k Z W x p a m t l J T I w a 2 9 s b 2 0 l M j B p b m d l d m 9 l Z 2 Q 1 N j w v S X R l b V B h d G g + P C 9 J d G V t T G 9 j Y X R p b 2 4 + P F N 0 Y W J s Z U V u d H J p Z X M g L z 4 8 L 0 l 0 Z W 0 + P E l 0 Z W 0 + P E l 0 Z W 1 M b 2 N h d G l v b j 4 8 S X R l b V R 5 c G U + R m 9 y b X V s Y T w v S X R l b V R 5 c G U + P E l 0 Z W 1 Q Y X R o P l N l Y 3 R p b 2 4 x L 0 Z T R C 9 W b 2 9 y d 2 F h c m R l b G l q a 2 U l M j B r b 2 x v b S U y M G l u Z 2 V 2 b 2 V n Z D U 3 P C 9 J d G V t U G F 0 a D 4 8 L 0 l 0 Z W 1 M b 2 N h d G l v b j 4 8 U 3 R h Y m x l R W 5 0 c m l l c y A v P j w v S X R l b T 4 8 S X R l b T 4 8 S X R l b U x v Y 2 F 0 a W 9 u P j x J d G V t V H l w Z T 5 G b 3 J t d W x h P C 9 J d G V t V H l w Z T 4 8 S X R l b V B h d G g + U 2 V j d G l v b j E v R l N E L 1 Z v b 3 J 3 Y W F y Z G V s a W p r Z S U y M G t v b G 9 t J T I w a W 5 n Z X Z v Z W d k N T g 8 L 0 l 0 Z W 1 Q Y X R o P j w v S X R l b U x v Y 2 F 0 a W 9 u P j x T d G F i b G V F b n R y a W V z I C 8 + P C 9 J d G V t P j x J d G V t P j x J d G V t T G 9 j Y X R p b 2 4 + P E l 0 Z W 1 U e X B l P k Z v c m 1 1 b G E 8 L 0 l 0 Z W 1 U e X B l P j x J d G V t U G F 0 a D 5 T Z W N 0 a W 9 u M S 9 G U 0 Q v V m 9 v c n d h Y X J k Z W x p a m t l J T I w a 2 9 s b 2 0 l M j B p b m d l d m 9 l Z 2 Q 1 O T w v S X R l b V B h d G g + P C 9 J d G V t T G 9 j Y X R p b 2 4 + P F N 0 Y W J s Z U V u d H J p Z X M g L z 4 8 L 0 l 0 Z W 0 + P E l 0 Z W 0 + P E l 0 Z W 1 M b 2 N h d G l v b j 4 8 S X R l b V R 5 c G U + R m 9 y b X V s Y T w v S X R l b V R 5 c G U + P E l 0 Z W 1 Q Y X R o P l N l Y 3 R p b 2 4 x L 0 Z T R C 9 B Y W 5 n Z X B h c 3 Q l M j B p d G V t J T I w d G 9 l Z 2 V 2 b 2 V n Z C U y M D E 8 L 0 l 0 Z W 1 Q Y X R o P j w v S X R l b U x v Y 2 F 0 a W 9 u P j x T d G F i b G V F b n R y a W V z I C 8 + P C 9 J d G V t P j x J d G V t P j x J d G V t T G 9 j Y X R p b 2 4 + P E l 0 Z W 1 U e X B l P k Z v c m 1 1 b G E 8 L 0 l 0 Z W 1 U e X B l P j x J d G V t U G F 0 a D 5 T Z W N 0 a W 9 u M S 9 G U 0 Q v Q W F u Z 2 V w Y X N 0 J T I w a X R l b S U y M H R v Z W d l d m 9 l Z 2 Q l M j A y P C 9 J d G V t U G F 0 a D 4 8 L 0 l 0 Z W 1 M b 2 N h d G l v b j 4 8 U 3 R h Y m x l R W 5 0 c m l l c y A v P j w v S X R l b T 4 8 S X R l b T 4 8 S X R l b U x v Y 2 F 0 a W 9 u P j x J d G V t V H l w Z T 5 G b 3 J t d W x h P C 9 J d G V t V H l w Z T 4 8 S X R l b V B h d G g + U 2 V j d G l v b j E v R l N E L 0 F h b m d l c G F z d C U y M G l 0 Z W 0 l M j B 0 b 2 V n Z X Z v Z W d k J T I w M z w v S X R l b V B h d G g + P C 9 J d G V t T G 9 j Y X R p b 2 4 + P F N 0 Y W J s Z U V u d H J p Z X M g L z 4 8 L 0 l 0 Z W 0 + P E l 0 Z W 0 + P E l 0 Z W 1 M b 2 N h d G l v b j 4 8 S X R l b V R 5 c G U + R m 9 y b X V s Y T w v S X R l b V R 5 c G U + P E l 0 Z W 1 Q Y X R o P l N l Y 3 R p b 2 4 x L 0 Z T R C 9 B Y W 5 n Z X B h c 3 Q l M j B p d G V t J T I w d G 9 l Z 2 V 2 b 2 V n Z C U y M D Q 8 L 0 l 0 Z W 1 Q Y X R o P j w v S X R l b U x v Y 2 F 0 a W 9 u P j x T d G F i b G V F b n R y a W V z I C 8 + P C 9 J d G V t P j x J d G V t P j x J d G V t T G 9 j Y X R p b 2 4 + P E l 0 Z W 1 U e X B l P k Z v c m 1 1 b G E 8 L 0 l 0 Z W 1 U e X B l P j x J d G V t U G F 0 a D 5 T Z W N 0 a W 9 u M S 9 G U 0 Q v S 2 9 s b 2 1 t Z W 4 l M j B 2 Z X J 3 a W p k Z X J k J T I w M j w v S X R l b V B h d G g + P C 9 J d G V t T G 9 j Y X R p b 2 4 + P F N 0 Y W J s Z U V u d H J p Z X M g L z 4 8 L 0 l 0 Z W 0 + P E l 0 Z W 0 + P E l 0 Z W 1 M b 2 N h d G l v b j 4 8 S X R l b V R 5 c G U + R m 9 y b X V s Y T w v S X R l b V R 5 c G U + P E l 0 Z W 1 Q Y X R o P l N l Y 3 R p b 2 4 x L 0 Z T R C 9 O Y W 1 l b i U y M H Z h b i U y M G t v b G 9 t b W V u J T I w Z 2 V 3 a W p 6 a W d k J T I w O D w v S X R l b V B h d G g + P C 9 J d G V t T G 9 j Y X R p b 2 4 + P F N 0 Y W J s Z U V u d H J p Z X M g L z 4 8 L 0 l 0 Z W 0 + P E l 0 Z W 0 + P E l 0 Z W 1 M b 2 N h d G l v b j 4 8 S X R l b V R 5 c G U + R m 9 y b X V s Y T w v S X R l b V R 5 c G U + P E l 0 Z W 1 Q Y X R o P l N l Y 3 R p b 2 4 x L 0 Z T R C 9 X Y W F y Z G U l M j B p c y U y M H Z l c n Z h b m d l b i U y M D k 8 L 0 l 0 Z W 1 Q Y X R o P j w v S X R l b U x v Y 2 F 0 a W 9 u P j x T d G F i b G V F b n R y a W V z I C 8 + P C 9 J d G V t P j x J d G V t P j x J d G V t T G 9 j Y X R p b 2 4 + P E l 0 Z W 1 U e X B l P k Z v c m 1 1 b G E 8 L 0 l 0 Z W 1 U e X B l P j x J d G V t U G F 0 a D 5 T Z W N 0 a W 9 u M S 9 G U 0 Q v V 2 F h c m R l J T I w a X M l M j B 2 Z X J 2 Y W 5 n Z W 4 l M j A y P C 9 J d G V t U G F 0 a D 4 8 L 0 l 0 Z W 1 M b 2 N h d G l v b j 4 8 U 3 R h Y m x l R W 5 0 c m l l c y A v P j w v S X R l b T 4 8 S X R l b T 4 8 S X R l b U x v Y 2 F 0 a W 9 u P j x J d G V t V H l w Z T 5 G b 3 J t d W x h P C 9 J d G V t V H l w Z T 4 8 S X R l b V B h d G g + U 2 V j d G l v b j E v R l N E L 0 5 h b W V u J T I w d m F u J T I w a 2 9 s b 2 1 t Z W 4 l M j B n Z X d p a n p p Z 2 Q l M j A z P C 9 J d G V t U G F 0 a D 4 8 L 0 l 0 Z W 1 M b 2 N h d G l v b j 4 8 U 3 R h Y m x l R W 5 0 c m l l c y A v P j w v S X R l b T 4 8 S X R l b T 4 8 S X R l b U x v Y 2 F 0 a W 9 u P j x J d G V t V H l w Z T 5 G b 3 J t d W x h P C 9 J d G V t V H l w Z T 4 8 S X R l b V B h d G g + U 2 V j d G l v b j E v R l N E L 1 d h Y X J k Z S U y M G l z J T I w d m V y d m F u Z 2 V u J T I w M z w v S X R l b V B h d G g + P C 9 J d G V t T G 9 j Y X R p b 2 4 + P F N 0 Y W J s Z U V u d H J p Z X M g L z 4 8 L 0 l 0 Z W 0 + P E l 0 Z W 0 + P E l 0 Z W 1 M b 2 N h d G l v b j 4 8 S X R l b V R 5 c G U + R m 9 y b X V s Y T w v S X R l b V R 5 c G U + P E l 0 Z W 1 Q Y X R o P l N l Y 3 R p b 2 4 x L 0 Z T R C 9 X Y W F y Z G U l M j B p c y U y M H Z l c n Z h b m d l b i U y M D Q 8 L 0 l 0 Z W 1 Q Y X R o P j w v S X R l b U x v Y 2 F 0 a W 9 u P j x T d G F i b G V F b n R y a W V z I C 8 + P C 9 J d G V t P j x J d G V t P j x J d G V t T G 9 j Y X R p b 2 4 + P E l 0 Z W 1 U e X B l P k Z v c m 1 1 b G E 8 L 0 l 0 Z W 1 U e X B l P j x J d G V t U G F 0 a D 5 T Z W N 0 a W 9 u M S 9 G U 0 Q v T m F t Z W 4 l M j B 2 Y W 4 l M j B r b 2 x v b W 1 l b i U y M G d l d 2 l q e m l n Z C U y M D Q 8 L 0 l 0 Z W 1 Q Y X R o P j w v S X R l b U x v Y 2 F 0 a W 9 u P j x T d G F i b G V F b n R y a W V z I C 8 + P C 9 J d G V t P j x J d G V t P j x J d G V t T G 9 j Y X R p b 2 4 + P E l 0 Z W 1 U e X B l P k Z v c m 1 1 b G E 8 L 0 l 0 Z W 1 U e X B l P j x J d G V t U G F 0 a D 5 T Z W N 0 a W 9 u M S 9 G U 0 Q v T m F t Z W 4 l M j B 2 Y W 4 l M j B r b 2 x v b W 1 l b i U y M G d l d 2 l q e m l n Z C U y M D U 8 L 0 l 0 Z W 1 Q Y X R o P j w v S X R l b U x v Y 2 F 0 a W 9 u P j x T d G F i b G V F b n R y a W V z I C 8 + P C 9 J d G V t P j x J d G V t P j x J d G V t T G 9 j Y X R p b 2 4 + P E l 0 Z W 1 U e X B l P k Z v c m 1 1 b G E 8 L 0 l 0 Z W 1 U e X B l P j x J d G V t U G F 0 a D 5 T Z W N 0 a W 9 u M S 9 G U 0 Q v S 2 9 s b 2 1 t Z W 4 l M j B z Y W 1 l b m d l d m 9 l Z 2 Q l M j A x P C 9 J d G V t U G F 0 a D 4 8 L 0 l 0 Z W 1 M b 2 N h d G l v b j 4 8 U 3 R h Y m x l R W 5 0 c m l l c y A v P j w v S X R l b T 4 8 S X R l b T 4 8 S X R l b U x v Y 2 F 0 a W 9 u P j x J d G V t V H l w Z T 5 G b 3 J t d W x h P C 9 J d G V t V H l w Z T 4 8 S X R l b V B h d G g + U 2 V j d G l v b j E v R l N E L 0 t v b G 9 t b W V u J T I w c 2 F t Z W 5 n Z X Z v Z W d k J T I w M j w v S X R l b V B h d G g + P C 9 J d G V t T G 9 j Y X R p b 2 4 + P F N 0 Y W J s Z U V u d H J p Z X M g L z 4 8 L 0 l 0 Z W 0 + P E l 0 Z W 0 + P E l 0 Z W 1 M b 2 N h d G l v b j 4 8 S X R l b V R 5 c G U + R m 9 y b X V s Y T w v S X R l b V R 5 c G U + P E l 0 Z W 1 Q Y X R o P l N l Y 3 R p b 2 4 x L 0 Z T R C 9 O Y W 1 l b i U y M H Z h b i U y M G t v b G 9 t b W V u J T I w Z 2 V 3 a W p 6 a W d k J T I w N j w v S X R l b V B h d G g + P C 9 J d G V t T G 9 j Y X R p b 2 4 + P F N 0 Y W J s Z U V u d H J p Z X M g L z 4 8 L 0 l 0 Z W 0 + P E l 0 Z W 0 + P E l 0 Z W 1 M b 2 N h d G l v b j 4 8 S X R l b V R 5 c G U + R m 9 y b X V s Y T w v S X R l b V R 5 c G U + P E l 0 Z W 1 Q Y X R o P l N l Y 3 R p b 2 4 x L 0 Z T R C 9 O Y W 1 l b i U y M H Z h b i U y M G t v b G 9 t b W V u J T I w Z 2 V 3 a W p 6 a W d k J T I w N z w v S X R l b V B h d G g + P C 9 J d G V t T G 9 j Y X R p b 2 4 + P F N 0 Y W J s Z U V u d H J p Z X M g L z 4 8 L 0 l 0 Z W 0 + P E l 0 Z W 0 + P E l 0 Z W 1 M b 2 N h d G l v b j 4 8 S X R l b V R 5 c G U + R m 9 y b X V s Y T w v S X R l b V R 5 c G U + P E l 0 Z W 1 Q Y X R o P l N l Y 3 R p b 2 4 x L 0 Z T R C 9 X Y W F y Z G U l M j B p c y U y M H Z l c n Z h b m d l b i U y M D c 8 L 0 l 0 Z W 1 Q Y X R o P j w v S X R l b U x v Y 2 F 0 a W 9 u P j x T d G F i b G V F b n R y a W V z I C 8 + P C 9 J d G V t P j x J d G V t P j x J d G V t T G 9 j Y X R p b 2 4 + P E l 0 Z W 1 U e X B l P k Z v c m 1 1 b G E 8 L 0 l 0 Z W 1 U e X B l P j x J d G V t U G F 0 a D 5 T Z W N 0 a W 9 u M S 9 G U 0 Q v V 2 F h c m R l J T I w a X M l M j B 2 Z X J 2 Y W 5 n Z W 4 l M j A 4 P C 9 J d G V t U G F 0 a D 4 8 L 0 l 0 Z W 1 M b 2 N h d G l v b j 4 8 U 3 R h Y m x l R W 5 0 c m l l c y A v P j w v S X R l b T 4 8 S X R l b T 4 8 S X R l b U x v Y 2 F 0 a W 9 u P j x J d G V t V H l w Z T 5 G b 3 J t d W x h P C 9 J d G V t V H l w Z T 4 8 S X R l b V B h d G g + U 2 V j d G l v b j E v R l N E L 0 5 h b W V u J T I w d m F u J T I w a 2 9 s b 2 1 t Z W 4 l M j B n Z X d p a n p p Z 2 Q l M j A 5 P C 9 J d G V t U G F 0 a D 4 8 L 0 l 0 Z W 1 M b 2 N h d G l v b j 4 8 U 3 R h Y m x l R W 5 0 c m l l c y A v P j w v S X R l b T 4 8 S X R l b T 4 8 S X R l b U x v Y 2 F 0 a W 9 u P j x J d G V t V H l w Z T 5 G b 3 J t d W x h P C 9 J d G V t V H l w Z T 4 8 S X R l b V B h d G g + U 2 V j d G l v b j E v R l N E L 0 h l d C U y M G t v b G 9 t d H l w Z S U y M G l z J T I w Z 2 V 3 a W p 6 a W d k J T I w M T w v S X R l b V B h d G g + P C 9 J d G V t T G 9 j Y X R p b 2 4 + P F N 0 Y W J s Z U V u d H J p Z X M g L z 4 8 L 0 l 0 Z W 0 + P E l 0 Z W 0 + P E l 0 Z W 1 M b 2 N h d G l v b j 4 8 S X R l b V R 5 c G U + R m 9 y b X V s Y T w v S X R l b V R 5 c G U + P E l 0 Z W 1 Q Y X R o P l N l Y 3 R p b 2 4 x L 0 Z T R C 9 H Z X N v c n R l Z X J k Z S U y M H J p a m V u P C 9 J d G V t U G F 0 a D 4 8 L 0 l 0 Z W 1 M b 2 N h d G l v b j 4 8 U 3 R h Y m x l R W 5 0 c m l l c y A v P j w v S X R l b T 4 8 S X R l b T 4 8 S X R l b U x v Y 2 F 0 a W 9 u P j x J d G V t V H l w Z T 5 G b 3 J t d W x h P C 9 J d G V t V H l w Z T 4 8 S X R l b V B h d G g + U 2 V j d G l v b j E v S 0 R M P C 9 J d G V t U G F 0 a D 4 8 L 0 l 0 Z W 1 M b 2 N h d G l v b j 4 8 U 3 R h Y m x l R W 5 0 c m l l c z 4 8 R W 5 0 c n k g V H l w Z T 0 i S X N Q c m l 2 Y X R l I i B W Y W x 1 Z T 0 i b D A i I C 8 + P E V u d H J 5 I F R 5 c G U 9 I k x v Y W R U b 1 J l c G 9 y d E R p c 2 F i b G V k I i B W Y W x 1 Z T 0 i b D A i I C 8 + P E V u d H J 5 I F R 5 c G U 9 I k Z p b G x F b m F i b G V k I i B W Y W x 1 Z T 0 i b D E i I C 8 + P E V u d H J 5 I F R 5 c G U 9 I k Z p b G x P Y m p l Y 3 R U e X B l I i B W Y W x 1 Z T 0 i c 1 R h Y m x l I i A v P j x F b n R y e S B U e X B l P S J G a W x s V G 9 E Y X R h T W 9 k Z W x F b m F i b G V k I i B W Y W x 1 Z T 0 i b D A i I C 8 + P E V u d H J 5 I F R 5 c G U 9 I l F 1 Z X J 5 S U Q i I F Z h b H V l P S J z O W V k Z j V h Y j g t N W F h M S 0 0 Z D Q 1 L W I z N m Y t M j k x Z m J l M D V i Y W Q 4 I i A v P j x F b n R y e S B U e X B l P S J S Z X N 1 b H R U e X B l I i B W Y W x 1 Z T 0 i c 1 R h Y m x l I i A v P j x F b n R y e S B U e X B l P S J O Y W 1 l V X B k Y X R l Z E F m d G V y R m l s b C I g V m F s d W U 9 I m w w I i A v P j x F b n R y e S B U e X B l P S J G a W x s V G F y Z 2 V 0 I i B W Y W x 1 Z T 0 i c 0 t E T C I g L z 4 8 R W 5 0 c n k g V H l w Z T 0 i R m l s b G V k Q 2 9 t c G x l d G V S Z X N 1 b H R U b 1 d v c m t z a G V l d C I g V m F s d W U 9 I m w x I i A v P j x F b n R y e S B U e X B l P S J C d W Z m Z X J O Z X h 0 U m V m c m V z a C I g V m F s d W U 9 I m w x I i A v P j x F b n R y e S B U e X B l P S J G a W x s R X J y b 3 J D b 3 V u d C I g V m F s d W U 9 I m w w I i A v P j x F b n R y e S B U e X B l P S J G a W x s T G F z d F V w Z G F 0 Z W Q i I F Z h b H V l P S J k M j A y N i 0 w M i 0 w O F Q x M D o x O D o z N C 4 w O T A y N z A w W i I g L z 4 8 R W 5 0 c n k g V H l w Z T 0 i R m l s b E V y c m 9 y Q 2 9 k Z S I g V m F s d W U 9 I n N V b m t u b 3 d u I i A v P j x F b n R y e S B U e X B l P S J G a W x s Q 2 9 s d W 1 u V H l w Z X M i I F Z h b H V l P S J z Q m d Z R 0 J n W U d C Z 1 l E Q X d N R E F 3 T U R B d 0 1 E Q X d N R 0 F 3 T U R B d 0 1 E Q X d Z R E F 3 T U R B d 0 1 E Q m d Z R 0 J n Y 0 h C Z 1 l H Q m d Z R 0 F 3 W U d C Z 1 k 9 I i A v P j x F b n R y e S B U e X B l P S J G a W x s Q 2 9 s d W 1 u T m F t Z X M i I F Z h b H V l P S J z W y Z x d W 9 0 O 0 t y a W 5 n Z G F n J n F 1 b 3 Q 7 L C Z x d W 9 0 O 1 Z l c i 5 u c i 4 m c X V v d D s s J n F 1 b 3 Q 7 T m F h b S B 2 Z X J l b m l n a W 5 n J n F 1 b 3 Q 7 L C Z x d W 9 0 O 0 R l b G V n Y X R p Z S Z x d W 9 0 O y w m c X V v d D t N d X p p Z W t r b 3 J w c y B 0 a W p k Z W 5 z I G 1 h c n M g Z W 4 g Z G V m a W x c d T A w R T k m c X V v d D s s J n F 1 b 3 Q 7 R G V l b G 5 h b W U g a m V 1 Z 2 R r b 2 5 p b m d z Y 2 h p Z X R l b i Z x d W 9 0 O y w m c X V v d D t N Y W o u I F N l b m l v c m V u I G p 1 c m V y Z W 4 g Y m l q I G 1 h c n M m c X V v d D s s J n F 1 b 3 Q 7 T W F q L i B K Z X V n Z C B q d X J l c m V u I G J p a i B t Y X J z J n F 1 b 3 Q 7 L C Z x d W 9 0 O 0 t v c n B z I H N l b m l v c m V u J n F 1 b 3 Q 7 L C Z x d W 9 0 O 0 p 1 b m l v c m V u I G t v c n B z I D E m c X V v d D s s J n F 1 b 3 Q 7 S n V u a W 9 y Z W 4 g a 2 9 y c H M g M i Z x d W 9 0 O y w m c X V v d D t B c 3 B p c m F u d G V u I G t v c n B z I D E m c X V v d D s s J n F 1 b 3 Q 7 Q X N w a X J h b n R l b i B r b 3 J w c y A y J n F 1 b 3 Q 7 L C Z x d W 9 0 O 0 F j c m 9 i Y X R p c 2 N o I H N l b m l v c m V u J n F 1 b 3 Q 7 L C Z x d W 9 0 O 0 F j c m 9 i Y X R p c 2 N o I G p 1 b m l v c m V u J n F 1 b 3 Q 7 L C Z x d W 9 0 O 0 F j c m 9 i Y X R p c 2 N o I G F z c G l y Y W 5 0 Z W 4 m c X V v d D s s J n F 1 b 3 Q 7 T 3 B n Z X Z l b i B 2 Z W 5 k Z W x p Z X J z I G l u Z C 4 m c X V v d D s s J n F 1 b 3 Q 7 Q W N y b 2 I u I H N l b m l v c m V u I G l u Z G l 2 L i Z x d W 9 0 O y w m c X V v d D t B Y 3 J v Y i 4 g a n V u a W 9 y Z W 4 g a W 5 k a X Y u J n F 1 b 3 Q 7 L C Z x d W 9 0 O 0 F j c m 9 i L i B h c 3 B p c m F u d G V u I G l u Z G l 2 L i Z x d W 9 0 O y w m c X V v d D t E Z W V s b m F t Z S B o b 2 9 m Z G t v c n B z J n F 1 b 3 Q 7 L C Z x d W 9 0 O 0 d y b 2 V w Z W 4 s I H R l Y W 1 z L C B l b n N l b W J s Z X M g Z W 4 g Z H V v X H U w M D I 3 c y Z x d W 9 0 O y w m c X V v d D t B Y W 5 0 Y W w g b 3 B n Z W d l d m V u I G 1 h a m 9 y Z X R 0 Z X M m c X V v d D s s J n F 1 b 3 Q 7 T 3 B n Z X Z l b i B i a W V s Z W 1 h b m 5 l b i Z x d W 9 0 O y w m c X V v d D t T Z W 5 p b 3 J l b i Z x d W 9 0 O y w m c X V v d D t K b 2 5 n I F Z v b H d h c 3 N l b m U m c X V v d D s s J n F 1 b 3 Q 7 S n V u a W 9 y Z W 4 m c X V v d D s s J n F 1 b 3 Q 7 Q X N w a X J h b n R l b i Z x d W 9 0 O y w m c X V v d D t E Z W V s b m F t Z S B t Y X J r Z X R l b n R z d G V y c y Z x d W 9 0 O y w m c X V v d D t B Y W 5 0 Y W w g b H V j a H R n Z X d l Z X J z Y 2 h 1 d H R l c n M m c X V v d D s s J n F 1 b 3 Q 7 Q W F u d G F s I G x 1 Y 2 h 0 c G l z d G 9 v b H N j a H V 0 d G V y c y Z x d W 9 0 O y w m c X V v d D t B Y W 5 0 Y W w g a G F u Z G J v b 2 d z Y 2 h 1 d H R l c n M m c X V v d D s s J n F 1 b 3 Q 7 Q W F u d G F s I G t y d W l z Y m 9 v Z 3 N j a H V 0 d G V y c y Z x d W 9 0 O y w m c X V v d D s o Q W F u d G F s I G p l d W d k a 2 9 y c H N l b i Z x d W 9 0 O y w m c X V v d D t U b 3 R h Y W w g Y W F u d G F s I G R l Z W x u Z W 1 l c n M m c X V v d D s s J n F 1 b 3 Q 7 V 2 F h c n Z h b i B h Y W 5 0 Y W w g a m V 1 Z 2 Q g K H Q v b S A x N S B q Y W F y K S Z x d W 9 0 O y w m c X V v d D t L Y W 5 v b i B l d G M u J n F 1 b 3 Q 7 L C Z x d W 9 0 O 1 B h Y X J k Z W 4 g Z W 4 v b 2 Y g a 2 9 l d H N l b i Z x d W 9 0 O y w m c X V v d D t U b 2 V s a W N o d G l u Z y 9 v c G 1 l c m t p b m d l b i Z x d W 9 0 O y w m c X V v d D t J b n p l b m R p b m c t S U Q m c X V v d D s s J n F 1 b 3 Q 7 S W 5 6 Z W 5 k Z G F 0 d W 0 m c X V v d D s s J n F 1 b 3 Q 7 R G F 0 Z S B V c G R h d G V k J n F 1 b 3 Q 7 L C Z x d W 9 0 O 0 5 h Y W 0 g d m F u I G h l d C B o b 2 9 m Z G t v c n B z J n F 1 b 3 Q 7 L C Z x d W 9 0 O 1 p h b C B v c C B 0 c m V k Z W 4 g Y W x z I C h o b 2 9 m Z G t v c n B z K S Z x d W 9 0 O y w m c X V v d D t W b 3 J t I H Z h b i B 0 d 2 V l I G 1 1 e m l l a 3 d l c m t l b i A o a G 9 v Z m R r b 3 J w c y k m c X V v d D s s J n F 1 b 3 Q 7 W m F s I H V p d G t v b W V u I G l u I G R l O i A o a G 9 v Z m R r b 3 J w c y k m c X V v d D s s J n F 1 b 3 Q 7 T X V 6 a W V r d 2 V y a z E g K G h v b 2 Z k a 2 9 y c H M p J n F 1 b 3 Q 7 L C Z x d W 9 0 O 0 1 1 e m l l a 3 d l c m s y I C h o b 2 9 m Z G t v c n B z K S Z x d W 9 0 O y w m c X V v d D t L b 3 J w c y B i Z X N 0 Y W F 0 I H V p d C A u L i 4 g Z G V l b G 5 l b W V y c y A o a G 9 v Z m R r b 3 J w c y k m c X V v d D s s J n F 1 b 3 Q 7 V 2 9 y Z H Q g Z X I g Z 2 V i c n V p a y B n Z W 1 h Y W t 0 I H Z h b i B t Z W N o Y W 5 p c 2 N o Z S B t d X p p Z W s / J n F 1 b 3 Q 7 L C Z x d W 9 0 O 0 9 u Z G V y Z G V s Z W 4 m c X V v d D s s J n F 1 b 3 Q 7 U 2 V j d G l l c y Z x d W 9 0 O y w m c X V v d D t M Z W V m d G l q Z H N j Y X R l Z 2 9 y a W U m c X V v d D t d I i A v P j x F b n R y e S B U e X B l P S J G a W x s Q 2 9 1 b n Q i I F Z h b H V l P S J s M T Y i I C 8 + P E V u d H J 5 I F R 5 c G U 9 I k F k Z G V k V G 9 E Y X R h T W 9 k Z W w i I F Z h b H V l P S J s M C I g L z 4 8 R W 5 0 c n k g V H l w Z T 0 i R m l s b F N 0 Y X R 1 c y I g V m F s d W U 9 I n N D b 2 1 w b G V 0 Z S I g L z 4 8 R W 5 0 c n k g V H l w Z T 0 i U m V s Y X R p b 2 5 z a G l w S W 5 m b 0 N v b n R h a W 5 l c i I g V m F s d W U 9 I n N 7 J n F 1 b 3 Q 7 Y 2 9 s d W 1 u Q 2 9 1 b n Q m c X V v d D s 6 N T M s J n F 1 b 3 Q 7 a 2 V 5 Q 2 9 s d W 1 u T m F t Z X M m c X V v d D s 6 W 1 0 s J n F 1 b 3 Q 7 c X V l c n l S Z W x h d G l v b n N o a X B z J n F 1 b 3 Q 7 O l t d L C Z x d W 9 0 O 2 N v b H V t b k l k Z W 5 0 a X R p Z X M m c X V v d D s 6 W y Z x d W 9 0 O 1 N l Y 3 R p b 2 4 x L 0 t E T C 9 B d X R v U m V t b 3 Z l Z E N v b H V t b n M x L n t L c m l u Z 2 R h Z y w w f S Z x d W 9 0 O y w m c X V v d D t T Z W N 0 a W 9 u M S 9 L R E w v Q X V 0 b 1 J l b W 9 2 Z W R D b 2 x 1 b W 5 z M S 5 7 V m V y L m 5 y L i w x f S Z x d W 9 0 O y w m c X V v d D t T Z W N 0 a W 9 u M S 9 L R E w v Q X V 0 b 1 J l b W 9 2 Z W R D b 2 x 1 b W 5 z M S 5 7 T m F h b S B 2 Z X J l b m l n a W 5 n L D J 9 J n F 1 b 3 Q 7 L C Z x d W 9 0 O 1 N l Y 3 R p b 2 4 x L 0 t E T C 9 B d X R v U m V t b 3 Z l Z E N v b H V t b n M x L n t E Z W x l Z 2 F 0 a W U s M 3 0 m c X V v d D s s J n F 1 b 3 Q 7 U 2 V j d G l v b j E v S 0 R M L 0 F 1 d G 9 S Z W 1 v d m V k Q 2 9 s d W 1 u c z E u e 0 1 1 e m l l a 2 t v c n B z I H R p a m R l b n M g b W F y c y B l b i B k Z W Z p b F x 1 M D B F O S w 0 f S Z x d W 9 0 O y w m c X V v d D t T Z W N 0 a W 9 u M S 9 L R E w v Q X V 0 b 1 J l b W 9 2 Z W R D b 2 x 1 b W 5 z M S 5 7 R G V l b G 5 h b W U g a m V 1 Z 2 R r b 2 5 p b m d z Y 2 h p Z X R l b i w 1 f S Z x d W 9 0 O y w m c X V v d D t T Z W N 0 a W 9 u M S 9 L R E w v Q X V 0 b 1 J l b W 9 2 Z W R D b 2 x 1 b W 5 z M S 5 7 T W F q L i B T Z W 5 p b 3 J l b i B q d X J l c m V u I G J p a i B t Y X J z L D Z 9 J n F 1 b 3 Q 7 L C Z x d W 9 0 O 1 N l Y 3 R p b 2 4 x L 0 t E T C 9 B d X R v U m V t b 3 Z l Z E N v b H V t b n M x L n t N Y W o u I E p l d W d k I G p 1 c m V y Z W 4 g Y m l q I G 1 h c n M s N 3 0 m c X V v d D s s J n F 1 b 3 Q 7 U 2 V j d G l v b j E v S 0 R M L 0 F 1 d G 9 S Z W 1 v d m V k Q 2 9 s d W 1 u c z E u e 0 t v c n B z I H N l b m l v c m V u L D h 9 J n F 1 b 3 Q 7 L C Z x d W 9 0 O 1 N l Y 3 R p b 2 4 x L 0 t E T C 9 B d X R v U m V t b 3 Z l Z E N v b H V t b n M x L n t K d W 5 p b 3 J l b i B r b 3 J w c y A x L D l 9 J n F 1 b 3 Q 7 L C Z x d W 9 0 O 1 N l Y 3 R p b 2 4 x L 0 t E T C 9 B d X R v U m V t b 3 Z l Z E N v b H V t b n M x L n t K d W 5 p b 3 J l b i B r b 3 J w c y A y L D E w f S Z x d W 9 0 O y w m c X V v d D t T Z W N 0 a W 9 u M S 9 L R E w v Q X V 0 b 1 J l b W 9 2 Z W R D b 2 x 1 b W 5 z M S 5 7 Q X N w a X J h b n R l b i B r b 3 J w c y A x L D E x f S Z x d W 9 0 O y w m c X V v d D t T Z W N 0 a W 9 u M S 9 L R E w v Q X V 0 b 1 J l b W 9 2 Z W R D b 2 x 1 b W 5 z M S 5 7 Q X N w a X J h b n R l b i B r b 3 J w c y A y L D E y f S Z x d W 9 0 O y w m c X V v d D t T Z W N 0 a W 9 u M S 9 L R E w v Q X V 0 b 1 J l b W 9 2 Z W R D b 2 x 1 b W 5 z M S 5 7 Q W N y b 2 J h d G l z Y 2 g g c 2 V u a W 9 y Z W 4 s M T N 9 J n F 1 b 3 Q 7 L C Z x d W 9 0 O 1 N l Y 3 R p b 2 4 x L 0 t E T C 9 B d X R v U m V t b 3 Z l Z E N v b H V t b n M x L n t B Y 3 J v Y m F 0 a X N j a C B q d W 5 p b 3 J l b i w x N H 0 m c X V v d D s s J n F 1 b 3 Q 7 U 2 V j d G l v b j E v S 0 R M L 0 F 1 d G 9 S Z W 1 v d m V k Q 2 9 s d W 1 u c z E u e 0 F j c m 9 i Y X R p c 2 N o I G F z c G l y Y W 5 0 Z W 4 s M T V 9 J n F 1 b 3 Q 7 L C Z x d W 9 0 O 1 N l Y 3 R p b 2 4 x L 0 t E T C 9 B d X R v U m V t b 3 Z l Z E N v b H V t b n M x L n t P c G d l d m V u I H Z l b m R l b G l l c n M g a W 5 k L i w x N n 0 m c X V v d D s s J n F 1 b 3 Q 7 U 2 V j d G l v b j E v S 0 R M L 0 F 1 d G 9 S Z W 1 v d m V k Q 2 9 s d W 1 u c z E u e 0 F j c m 9 i L i B z Z W 5 p b 3 J l b i B p b m R p d i 4 s M T d 9 J n F 1 b 3 Q 7 L C Z x d W 9 0 O 1 N l Y 3 R p b 2 4 x L 0 t E T C 9 B d X R v U m V t b 3 Z l Z E N v b H V t b n M x L n t B Y 3 J v Y i 4 g a n V u a W 9 y Z W 4 g a W 5 k a X Y u L D E 4 f S Z x d W 9 0 O y w m c X V v d D t T Z W N 0 a W 9 u M S 9 L R E w v Q X V 0 b 1 J l b W 9 2 Z W R D b 2 x 1 b W 5 z M S 5 7 Q W N y b 2 I u I G F z c G l y Y W 5 0 Z W 4 g a W 5 k a X Y u L D E 5 f S Z x d W 9 0 O y w m c X V v d D t T Z W N 0 a W 9 u M S 9 L R E w v Q X V 0 b 1 J l b W 9 2 Z W R D b 2 x 1 b W 5 z M S 5 7 R G V l b G 5 h b W U g a G 9 v Z m R r b 3 J w c y w y M H 0 m c X V v d D s s J n F 1 b 3 Q 7 U 2 V j d G l v b j E v S 0 R M L 0 F 1 d G 9 S Z W 1 v d m V k Q 2 9 s d W 1 u c z E u e 0 d y b 2 V w Z W 4 s I H R l Y W 1 z L C B l b n N l b W J s Z X M g Z W 4 g Z H V v X H U w M D I 3 c y w y M X 0 m c X V v d D s s J n F 1 b 3 Q 7 U 2 V j d G l v b j E v S 0 R M L 0 F 1 d G 9 S Z W 1 v d m V k Q 2 9 s d W 1 u c z E u e 0 F h b n R h b C B v c G d l Z 2 V 2 Z W 4 g b W F q b 3 J l d H R l c y w y M n 0 m c X V v d D s s J n F 1 b 3 Q 7 U 2 V j d G l v b j E v S 0 R M L 0 F 1 d G 9 S Z W 1 v d m V k Q 2 9 s d W 1 u c z E u e 0 9 w Z 2 V 2 Z W 4 g Y m l l b G V t Y W 5 u Z W 4 s M j N 9 J n F 1 b 3 Q 7 L C Z x d W 9 0 O 1 N l Y 3 R p b 2 4 x L 0 t E T C 9 B d X R v U m V t b 3 Z l Z E N v b H V t b n M x L n t T Z W 5 p b 3 J l b i w y N H 0 m c X V v d D s s J n F 1 b 3 Q 7 U 2 V j d G l v b j E v S 0 R M L 0 F 1 d G 9 S Z W 1 v d m V k Q 2 9 s d W 1 u c z E u e 0 p v b m c g V m 9 s d 2 F z c 2 V u Z S w y N X 0 m c X V v d D s s J n F 1 b 3 Q 7 U 2 V j d G l v b j E v S 0 R M L 0 F 1 d G 9 S Z W 1 v d m V k Q 2 9 s d W 1 u c z E u e 0 p 1 b m l v c m V u L D I 2 f S Z x d W 9 0 O y w m c X V v d D t T Z W N 0 a W 9 u M S 9 L R E w v Q X V 0 b 1 J l b W 9 2 Z W R D b 2 x 1 b W 5 z M S 5 7 Q X N w a X J h b n R l b i w y N 3 0 m c X V v d D s s J n F 1 b 3 Q 7 U 2 V j d G l v b j E v S 0 R M L 0 F 1 d G 9 S Z W 1 v d m V k Q 2 9 s d W 1 u c z E u e 0 R l Z W x u Y W 1 l I G 1 h c m t l d G V u d H N 0 Z X J z L D I 4 f S Z x d W 9 0 O y w m c X V v d D t T Z W N 0 a W 9 u M S 9 L R E w v Q X V 0 b 1 J l b W 9 2 Z W R D b 2 x 1 b W 5 z M S 5 7 Q W F u d G F s I G x 1 Y 2 h 0 Z 2 V 3 Z W V y c 2 N o d X R 0 Z X J z L D I 5 f S Z x d W 9 0 O y w m c X V v d D t T Z W N 0 a W 9 u M S 9 L R E w v Q X V 0 b 1 J l b W 9 2 Z W R D b 2 x 1 b W 5 z M S 5 7 Q W F u d G F s I G x 1 Y 2 h 0 c G l z d G 9 v b H N j a H V 0 d G V y c y w z M H 0 m c X V v d D s s J n F 1 b 3 Q 7 U 2 V j d G l v b j E v S 0 R M L 0 F 1 d G 9 S Z W 1 v d m V k Q 2 9 s d W 1 u c z E u e 0 F h b n R h b C B o Y W 5 k Y m 9 v Z 3 N j a H V 0 d G V y c y w z M X 0 m c X V v d D s s J n F 1 b 3 Q 7 U 2 V j d G l v b j E v S 0 R M L 0 F 1 d G 9 S Z W 1 v d m V k Q 2 9 s d W 1 u c z E u e 0 F h b n R h b C B r c n V p c 2 J v b 2 d z Y 2 h 1 d H R l c n M s M z J 9 J n F 1 b 3 Q 7 L C Z x d W 9 0 O 1 N l Y 3 R p b 2 4 x L 0 t E T C 9 B d X R v U m V t b 3 Z l Z E N v b H V t b n M x L n s o Q W F u d G F s I G p l d W d k a 2 9 y c H N l b i w z M 3 0 m c X V v d D s s J n F 1 b 3 Q 7 U 2 V j d G l v b j E v S 0 R M L 0 F 1 d G 9 S Z W 1 v d m V k Q 2 9 s d W 1 u c z E u e 1 R v d G F h b C B h Y W 5 0 Y W w g Z G V l b G 5 l b W V y c y w z N H 0 m c X V v d D s s J n F 1 b 3 Q 7 U 2 V j d G l v b j E v S 0 R M L 0 F 1 d G 9 S Z W 1 v d m V k Q 2 9 s d W 1 u c z E u e 1 d h Y X J 2 Y W 4 g Y W F u d G F s I G p l d W d k I C h 0 L 2 0 g M T U g a m F h c i k s M z V 9 J n F 1 b 3 Q 7 L C Z x d W 9 0 O 1 N l Y 3 R p b 2 4 x L 0 t E T C 9 B d X R v U m V t b 3 Z l Z E N v b H V t b n M x L n t L Y W 5 v b i B l d G M u L D M 2 f S Z x d W 9 0 O y w m c X V v d D t T Z W N 0 a W 9 u M S 9 L R E w v Q X V 0 b 1 J l b W 9 2 Z W R D b 2 x 1 b W 5 z M S 5 7 U G F h c m R l b i B l b i 9 v Z i B r b 2 V 0 c 2 V u L D M 3 f S Z x d W 9 0 O y w m c X V v d D t T Z W N 0 a W 9 u M S 9 L R E w v Q X V 0 b 1 J l b W 9 2 Z W R D b 2 x 1 b W 5 z M S 5 7 V G 9 l b G l j a H R p b m c v b 3 B t Z X J r a W 5 n Z W 4 s M z h 9 J n F 1 b 3 Q 7 L C Z x d W 9 0 O 1 N l Y 3 R p b 2 4 x L 0 t E T C 9 B d X R v U m V t b 3 Z l Z E N v b H V t b n M x L n t J b n p l b m R p b m c t S U Q s M z l 9 J n F 1 b 3 Q 7 L C Z x d W 9 0 O 1 N l Y 3 R p b 2 4 x L 0 t E T C 9 B d X R v U m V t b 3 Z l Z E N v b H V t b n M x L n t J b n p l b m R k Y X R 1 b S w 0 M H 0 m c X V v d D s s J n F 1 b 3 Q 7 U 2 V j d G l v b j E v S 0 R M L 0 F 1 d G 9 S Z W 1 v d m V k Q 2 9 s d W 1 u c z E u e 0 R h d G U g V X B k Y X R l Z C w 0 M X 0 m c X V v d D s s J n F 1 b 3 Q 7 U 2 V j d G l v b j E v S 0 R M L 0 F 1 d G 9 S Z W 1 v d m V k Q 2 9 s d W 1 u c z E u e 0 5 h Y W 0 g d m F u I G h l d C B o b 2 9 m Z G t v c n B z L D Q y f S Z x d W 9 0 O y w m c X V v d D t T Z W N 0 a W 9 u M S 9 L R E w v Q X V 0 b 1 J l b W 9 2 Z W R D b 2 x 1 b W 5 z M S 5 7 W m F s I G 9 w I H R y Z W R l b i B h b H M g K G h v b 2 Z k a 2 9 y c H M p L D Q z f S Z x d W 9 0 O y w m c X V v d D t T Z W N 0 a W 9 u M S 9 L R E w v Q X V 0 b 1 J l b W 9 2 Z W R D b 2 x 1 b W 5 z M S 5 7 V m 9 y b S B 2 Y W 4 g d H d l Z S B t d X p p Z W t 3 Z X J r Z W 4 g K G h v b 2 Z k a 2 9 y c H M p L D Q 0 f S Z x d W 9 0 O y w m c X V v d D t T Z W N 0 a W 9 u M S 9 L R E w v Q X V 0 b 1 J l b W 9 2 Z W R D b 2 x 1 b W 5 z M S 5 7 W m F s I H V p d G t v b W V u I G l u I G R l O i A o a G 9 v Z m R r b 3 J w c y k s N D V 9 J n F 1 b 3 Q 7 L C Z x d W 9 0 O 1 N l Y 3 R p b 2 4 x L 0 t E T C 9 B d X R v U m V t b 3 Z l Z E N v b H V t b n M x L n t N d X p p Z W t 3 Z X J r M S A o a G 9 v Z m R r b 3 J w c y k s N D Z 9 J n F 1 b 3 Q 7 L C Z x d W 9 0 O 1 N l Y 3 R p b 2 4 x L 0 t E T C 9 B d X R v U m V t b 3 Z l Z E N v b H V t b n M x L n t N d X p p Z W t 3 Z X J r M i A o a G 9 v Z m R r b 3 J w c y k s N D d 9 J n F 1 b 3 Q 7 L C Z x d W 9 0 O 1 N l Y 3 R p b 2 4 x L 0 t E T C 9 B d X R v U m V t b 3 Z l Z E N v b H V t b n M x L n t L b 3 J w c y B i Z X N 0 Y W F 0 I H V p d C A u L i 4 g Z G V l b G 5 l b W V y c y A o a G 9 v Z m R r b 3 J w c y k s N D h 9 J n F 1 b 3 Q 7 L C Z x d W 9 0 O 1 N l Y 3 R p b 2 4 x L 0 t E T C 9 B d X R v U m V t b 3 Z l Z E N v b H V t b n M x L n t X b 3 J k d C B l c i B n Z W J y d W l r I G d l b W F h a 3 Q g d m F u I G 1 l Y 2 h h b m l z Y 2 h l I G 1 1 e m l l a z 8 s N D l 9 J n F 1 b 3 Q 7 L C Z x d W 9 0 O 1 N l Y 3 R p b 2 4 x L 0 t E T C 9 B d X R v U m V t b 3 Z l Z E N v b H V t b n M x L n t P b m R l c m R l b G V u L D U w f S Z x d W 9 0 O y w m c X V v d D t T Z W N 0 a W 9 u M S 9 L R E w v Q X V 0 b 1 J l b W 9 2 Z W R D b 2 x 1 b W 5 z M S 5 7 U 2 V j d G l l c y w 1 M X 0 m c X V v d D s s J n F 1 b 3 Q 7 U 2 V j d G l v b j E v S 0 R M L 0 F 1 d G 9 S Z W 1 v d m V k Q 2 9 s d W 1 u c z E u e 0 x l Z W Z 0 a W p k c 2 N h d G V n b 3 J p Z S w 1 M n 0 m c X V v d D t d L C Z x d W 9 0 O 0 N v b H V t b k N v d W 5 0 J n F 1 b 3 Q 7 O j U z L C Z x d W 9 0 O 0 t l e U N v b H V t b k 5 h b W V z J n F 1 b 3 Q 7 O l t d L C Z x d W 9 0 O 0 N v b H V t b k l k Z W 5 0 a X R p Z X M m c X V v d D s 6 W y Z x d W 9 0 O 1 N l Y 3 R p b 2 4 x L 0 t E T C 9 B d X R v U m V t b 3 Z l Z E N v b H V t b n M x L n t L c m l u Z 2 R h Z y w w f S Z x d W 9 0 O y w m c X V v d D t T Z W N 0 a W 9 u M S 9 L R E w v Q X V 0 b 1 J l b W 9 2 Z W R D b 2 x 1 b W 5 z M S 5 7 V m V y L m 5 y L i w x f S Z x d W 9 0 O y w m c X V v d D t T Z W N 0 a W 9 u M S 9 L R E w v Q X V 0 b 1 J l b W 9 2 Z W R D b 2 x 1 b W 5 z M S 5 7 T m F h b S B 2 Z X J l b m l n a W 5 n L D J 9 J n F 1 b 3 Q 7 L C Z x d W 9 0 O 1 N l Y 3 R p b 2 4 x L 0 t E T C 9 B d X R v U m V t b 3 Z l Z E N v b H V t b n M x L n t E Z W x l Z 2 F 0 a W U s M 3 0 m c X V v d D s s J n F 1 b 3 Q 7 U 2 V j d G l v b j E v S 0 R M L 0 F 1 d G 9 S Z W 1 v d m V k Q 2 9 s d W 1 u c z E u e 0 1 1 e m l l a 2 t v c n B z I H R p a m R l b n M g b W F y c y B l b i B k Z W Z p b F x 1 M D B F O S w 0 f S Z x d W 9 0 O y w m c X V v d D t T Z W N 0 a W 9 u M S 9 L R E w v Q X V 0 b 1 J l b W 9 2 Z W R D b 2 x 1 b W 5 z M S 5 7 R G V l b G 5 h b W U g a m V 1 Z 2 R r b 2 5 p b m d z Y 2 h p Z X R l b i w 1 f S Z x d W 9 0 O y w m c X V v d D t T Z W N 0 a W 9 u M S 9 L R E w v Q X V 0 b 1 J l b W 9 2 Z W R D b 2 x 1 b W 5 z M S 5 7 T W F q L i B T Z W 5 p b 3 J l b i B q d X J l c m V u I G J p a i B t Y X J z L D Z 9 J n F 1 b 3 Q 7 L C Z x d W 9 0 O 1 N l Y 3 R p b 2 4 x L 0 t E T C 9 B d X R v U m V t b 3 Z l Z E N v b H V t b n M x L n t N Y W o u I E p l d W d k I G p 1 c m V y Z W 4 g Y m l q I G 1 h c n M s N 3 0 m c X V v d D s s J n F 1 b 3 Q 7 U 2 V j d G l v b j E v S 0 R M L 0 F 1 d G 9 S Z W 1 v d m V k Q 2 9 s d W 1 u c z E u e 0 t v c n B z I H N l b m l v c m V u L D h 9 J n F 1 b 3 Q 7 L C Z x d W 9 0 O 1 N l Y 3 R p b 2 4 x L 0 t E T C 9 B d X R v U m V t b 3 Z l Z E N v b H V t b n M x L n t K d W 5 p b 3 J l b i B r b 3 J w c y A x L D l 9 J n F 1 b 3 Q 7 L C Z x d W 9 0 O 1 N l Y 3 R p b 2 4 x L 0 t E T C 9 B d X R v U m V t b 3 Z l Z E N v b H V t b n M x L n t K d W 5 p b 3 J l b i B r b 3 J w c y A y L D E w f S Z x d W 9 0 O y w m c X V v d D t T Z W N 0 a W 9 u M S 9 L R E w v Q X V 0 b 1 J l b W 9 2 Z W R D b 2 x 1 b W 5 z M S 5 7 Q X N w a X J h b n R l b i B r b 3 J w c y A x L D E x f S Z x d W 9 0 O y w m c X V v d D t T Z W N 0 a W 9 u M S 9 L R E w v Q X V 0 b 1 J l b W 9 2 Z W R D b 2 x 1 b W 5 z M S 5 7 Q X N w a X J h b n R l b i B r b 3 J w c y A y L D E y f S Z x d W 9 0 O y w m c X V v d D t T Z W N 0 a W 9 u M S 9 L R E w v Q X V 0 b 1 J l b W 9 2 Z W R D b 2 x 1 b W 5 z M S 5 7 Q W N y b 2 J h d G l z Y 2 g g c 2 V u a W 9 y Z W 4 s M T N 9 J n F 1 b 3 Q 7 L C Z x d W 9 0 O 1 N l Y 3 R p b 2 4 x L 0 t E T C 9 B d X R v U m V t b 3 Z l Z E N v b H V t b n M x L n t B Y 3 J v Y m F 0 a X N j a C B q d W 5 p b 3 J l b i w x N H 0 m c X V v d D s s J n F 1 b 3 Q 7 U 2 V j d G l v b j E v S 0 R M L 0 F 1 d G 9 S Z W 1 v d m V k Q 2 9 s d W 1 u c z E u e 0 F j c m 9 i Y X R p c 2 N o I G F z c G l y Y W 5 0 Z W 4 s M T V 9 J n F 1 b 3 Q 7 L C Z x d W 9 0 O 1 N l Y 3 R p b 2 4 x L 0 t E T C 9 B d X R v U m V t b 3 Z l Z E N v b H V t b n M x L n t P c G d l d m V u I H Z l b m R l b G l l c n M g a W 5 k L i w x N n 0 m c X V v d D s s J n F 1 b 3 Q 7 U 2 V j d G l v b j E v S 0 R M L 0 F 1 d G 9 S Z W 1 v d m V k Q 2 9 s d W 1 u c z E u e 0 F j c m 9 i L i B z Z W 5 p b 3 J l b i B p b m R p d i 4 s M T d 9 J n F 1 b 3 Q 7 L C Z x d W 9 0 O 1 N l Y 3 R p b 2 4 x L 0 t E T C 9 B d X R v U m V t b 3 Z l Z E N v b H V t b n M x L n t B Y 3 J v Y i 4 g a n V u a W 9 y Z W 4 g a W 5 k a X Y u L D E 4 f S Z x d W 9 0 O y w m c X V v d D t T Z W N 0 a W 9 u M S 9 L R E w v Q X V 0 b 1 J l b W 9 2 Z W R D b 2 x 1 b W 5 z M S 5 7 Q W N y b 2 I u I G F z c G l y Y W 5 0 Z W 4 g a W 5 k a X Y u L D E 5 f S Z x d W 9 0 O y w m c X V v d D t T Z W N 0 a W 9 u M S 9 L R E w v Q X V 0 b 1 J l b W 9 2 Z W R D b 2 x 1 b W 5 z M S 5 7 R G V l b G 5 h b W U g a G 9 v Z m R r b 3 J w c y w y M H 0 m c X V v d D s s J n F 1 b 3 Q 7 U 2 V j d G l v b j E v S 0 R M L 0 F 1 d G 9 S Z W 1 v d m V k Q 2 9 s d W 1 u c z E u e 0 d y b 2 V w Z W 4 s I H R l Y W 1 z L C B l b n N l b W J s Z X M g Z W 4 g Z H V v X H U w M D I 3 c y w y M X 0 m c X V v d D s s J n F 1 b 3 Q 7 U 2 V j d G l v b j E v S 0 R M L 0 F 1 d G 9 S Z W 1 v d m V k Q 2 9 s d W 1 u c z E u e 0 F h b n R h b C B v c G d l Z 2 V 2 Z W 4 g b W F q b 3 J l d H R l c y w y M n 0 m c X V v d D s s J n F 1 b 3 Q 7 U 2 V j d G l v b j E v S 0 R M L 0 F 1 d G 9 S Z W 1 v d m V k Q 2 9 s d W 1 u c z E u e 0 9 w Z 2 V 2 Z W 4 g Y m l l b G V t Y W 5 u Z W 4 s M j N 9 J n F 1 b 3 Q 7 L C Z x d W 9 0 O 1 N l Y 3 R p b 2 4 x L 0 t E T C 9 B d X R v U m V t b 3 Z l Z E N v b H V t b n M x L n t T Z W 5 p b 3 J l b i w y N H 0 m c X V v d D s s J n F 1 b 3 Q 7 U 2 V j d G l v b j E v S 0 R M L 0 F 1 d G 9 S Z W 1 v d m V k Q 2 9 s d W 1 u c z E u e 0 p v b m c g V m 9 s d 2 F z c 2 V u Z S w y N X 0 m c X V v d D s s J n F 1 b 3 Q 7 U 2 V j d G l v b j E v S 0 R M L 0 F 1 d G 9 S Z W 1 v d m V k Q 2 9 s d W 1 u c z E u e 0 p 1 b m l v c m V u L D I 2 f S Z x d W 9 0 O y w m c X V v d D t T Z W N 0 a W 9 u M S 9 L R E w v Q X V 0 b 1 J l b W 9 2 Z W R D b 2 x 1 b W 5 z M S 5 7 Q X N w a X J h b n R l b i w y N 3 0 m c X V v d D s s J n F 1 b 3 Q 7 U 2 V j d G l v b j E v S 0 R M L 0 F 1 d G 9 S Z W 1 v d m V k Q 2 9 s d W 1 u c z E u e 0 R l Z W x u Y W 1 l I G 1 h c m t l d G V u d H N 0 Z X J z L D I 4 f S Z x d W 9 0 O y w m c X V v d D t T Z W N 0 a W 9 u M S 9 L R E w v Q X V 0 b 1 J l b W 9 2 Z W R D b 2 x 1 b W 5 z M S 5 7 Q W F u d G F s I G x 1 Y 2 h 0 Z 2 V 3 Z W V y c 2 N o d X R 0 Z X J z L D I 5 f S Z x d W 9 0 O y w m c X V v d D t T Z W N 0 a W 9 u M S 9 L R E w v Q X V 0 b 1 J l b W 9 2 Z W R D b 2 x 1 b W 5 z M S 5 7 Q W F u d G F s I G x 1 Y 2 h 0 c G l z d G 9 v b H N j a H V 0 d G V y c y w z M H 0 m c X V v d D s s J n F 1 b 3 Q 7 U 2 V j d G l v b j E v S 0 R M L 0 F 1 d G 9 S Z W 1 v d m V k Q 2 9 s d W 1 u c z E u e 0 F h b n R h b C B o Y W 5 k Y m 9 v Z 3 N j a H V 0 d G V y c y w z M X 0 m c X V v d D s s J n F 1 b 3 Q 7 U 2 V j d G l v b j E v S 0 R M L 0 F 1 d G 9 S Z W 1 v d m V k Q 2 9 s d W 1 u c z E u e 0 F h b n R h b C B r c n V p c 2 J v b 2 d z Y 2 h 1 d H R l c n M s M z J 9 J n F 1 b 3 Q 7 L C Z x d W 9 0 O 1 N l Y 3 R p b 2 4 x L 0 t E T C 9 B d X R v U m V t b 3 Z l Z E N v b H V t b n M x L n s o Q W F u d G F s I G p l d W d k a 2 9 y c H N l b i w z M 3 0 m c X V v d D s s J n F 1 b 3 Q 7 U 2 V j d G l v b j E v S 0 R M L 0 F 1 d G 9 S Z W 1 v d m V k Q 2 9 s d W 1 u c z E u e 1 R v d G F h b C B h Y W 5 0 Y W w g Z G V l b G 5 l b W V y c y w z N H 0 m c X V v d D s s J n F 1 b 3 Q 7 U 2 V j d G l v b j E v S 0 R M L 0 F 1 d G 9 S Z W 1 v d m V k Q 2 9 s d W 1 u c z E u e 1 d h Y X J 2 Y W 4 g Y W F u d G F s I G p l d W d k I C h 0 L 2 0 g M T U g a m F h c i k s M z V 9 J n F 1 b 3 Q 7 L C Z x d W 9 0 O 1 N l Y 3 R p b 2 4 x L 0 t E T C 9 B d X R v U m V t b 3 Z l Z E N v b H V t b n M x L n t L Y W 5 v b i B l d G M u L D M 2 f S Z x d W 9 0 O y w m c X V v d D t T Z W N 0 a W 9 u M S 9 L R E w v Q X V 0 b 1 J l b W 9 2 Z W R D b 2 x 1 b W 5 z M S 5 7 U G F h c m R l b i B l b i 9 v Z i B r b 2 V 0 c 2 V u L D M 3 f S Z x d W 9 0 O y w m c X V v d D t T Z W N 0 a W 9 u M S 9 L R E w v Q X V 0 b 1 J l b W 9 2 Z W R D b 2 x 1 b W 5 z M S 5 7 V G 9 l b G l j a H R p b m c v b 3 B t Z X J r a W 5 n Z W 4 s M z h 9 J n F 1 b 3 Q 7 L C Z x d W 9 0 O 1 N l Y 3 R p b 2 4 x L 0 t E T C 9 B d X R v U m V t b 3 Z l Z E N v b H V t b n M x L n t J b n p l b m R p b m c t S U Q s M z l 9 J n F 1 b 3 Q 7 L C Z x d W 9 0 O 1 N l Y 3 R p b 2 4 x L 0 t E T C 9 B d X R v U m V t b 3 Z l Z E N v b H V t b n M x L n t J b n p l b m R k Y X R 1 b S w 0 M H 0 m c X V v d D s s J n F 1 b 3 Q 7 U 2 V j d G l v b j E v S 0 R M L 0 F 1 d G 9 S Z W 1 v d m V k Q 2 9 s d W 1 u c z E u e 0 R h d G U g V X B k Y X R l Z C w 0 M X 0 m c X V v d D s s J n F 1 b 3 Q 7 U 2 V j d G l v b j E v S 0 R M L 0 F 1 d G 9 S Z W 1 v d m V k Q 2 9 s d W 1 u c z E u e 0 5 h Y W 0 g d m F u I G h l d C B o b 2 9 m Z G t v c n B z L D Q y f S Z x d W 9 0 O y w m c X V v d D t T Z W N 0 a W 9 u M S 9 L R E w v Q X V 0 b 1 J l b W 9 2 Z W R D b 2 x 1 b W 5 z M S 5 7 W m F s I G 9 w I H R y Z W R l b i B h b H M g K G h v b 2 Z k a 2 9 y c H M p L D Q z f S Z x d W 9 0 O y w m c X V v d D t T Z W N 0 a W 9 u M S 9 L R E w v Q X V 0 b 1 J l b W 9 2 Z W R D b 2 x 1 b W 5 z M S 5 7 V m 9 y b S B 2 Y W 4 g d H d l Z S B t d X p p Z W t 3 Z X J r Z W 4 g K G h v b 2 Z k a 2 9 y c H M p L D Q 0 f S Z x d W 9 0 O y w m c X V v d D t T Z W N 0 a W 9 u M S 9 L R E w v Q X V 0 b 1 J l b W 9 2 Z W R D b 2 x 1 b W 5 z M S 5 7 W m F s I H V p d G t v b W V u I G l u I G R l O i A o a G 9 v Z m R r b 3 J w c y k s N D V 9 J n F 1 b 3 Q 7 L C Z x d W 9 0 O 1 N l Y 3 R p b 2 4 x L 0 t E T C 9 B d X R v U m V t b 3 Z l Z E N v b H V t b n M x L n t N d X p p Z W t 3 Z X J r M S A o a G 9 v Z m R r b 3 J w c y k s N D Z 9 J n F 1 b 3 Q 7 L C Z x d W 9 0 O 1 N l Y 3 R p b 2 4 x L 0 t E T C 9 B d X R v U m V t b 3 Z l Z E N v b H V t b n M x L n t N d X p p Z W t 3 Z X J r M i A o a G 9 v Z m R r b 3 J w c y k s N D d 9 J n F 1 b 3 Q 7 L C Z x d W 9 0 O 1 N l Y 3 R p b 2 4 x L 0 t E T C 9 B d X R v U m V t b 3 Z l Z E N v b H V t b n M x L n t L b 3 J w c y B i Z X N 0 Y W F 0 I H V p d C A u L i 4 g Z G V l b G 5 l b W V y c y A o a G 9 v Z m R r b 3 J w c y k s N D h 9 J n F 1 b 3 Q 7 L C Z x d W 9 0 O 1 N l Y 3 R p b 2 4 x L 0 t E T C 9 B d X R v U m V t b 3 Z l Z E N v b H V t b n M x L n t X b 3 J k d C B l c i B n Z W J y d W l r I G d l b W F h a 3 Q g d m F u I G 1 l Y 2 h h b m l z Y 2 h l I G 1 1 e m l l a z 8 s N D l 9 J n F 1 b 3 Q 7 L C Z x d W 9 0 O 1 N l Y 3 R p b 2 4 x L 0 t E T C 9 B d X R v U m V t b 3 Z l Z E N v b H V t b n M x L n t P b m R l c m R l b G V u L D U w f S Z x d W 9 0 O y w m c X V v d D t T Z W N 0 a W 9 u M S 9 L R E w v Q X V 0 b 1 J l b W 9 2 Z W R D b 2 x 1 b W 5 z M S 5 7 U 2 V j d G l l c y w 1 M X 0 m c X V v d D s s J n F 1 b 3 Q 7 U 2 V j d G l v b j E v S 0 R M L 0 F 1 d G 9 S Z W 1 v d m V k Q 2 9 s d W 1 u c z E u e 0 x l Z W Z 0 a W p k c 2 N h d G V n b 3 J p Z S w 1 M n 0 m c X V v d D t d L C Z x d W 9 0 O 1 J l b G F 0 a W 9 u c 2 h p c E l u Z m 8 m c X V v d D s 6 W 1 1 9 I i A v P j w v U 3 R h Y m x l R W 5 0 c m l l c z 4 8 L 0 l 0 Z W 0 + P E l 0 Z W 0 + P E l 0 Z W 1 M b 2 N h d G l v b j 4 8 S X R l b V R 5 c G U + R m 9 y b X V s Y T w v S X R l b V R 5 c G U + P E l 0 Z W 1 Q Y X R o P l N l Y 3 R p b 2 4 x L 0 t E T C 9 C c m 9 u P C 9 J d G V t U G F 0 a D 4 8 L 0 l 0 Z W 1 M b 2 N h d G l v b j 4 8 U 3 R h Y m x l R W 5 0 c m l l c y A v P j w v S X R l b T 4 8 S X R l b T 4 8 S X R l b U x v Y 2 F 0 a W 9 u P j x J d G V t V H l w Z T 5 G b 3 J t d W x h P C 9 J d G V t V H l w Z T 4 8 S X R l b V B h d G g + U 2 V j d G l v b j E v S 0 R M L 0 h l Y W R l c n M l M j B t Z X Q l M j B 2 Z X J o b 2 9 n Z C U y M G 5 p d m V h d T w v S X R l b V B h d G g + P C 9 J d G V t T G 9 j Y X R p b 2 4 + P F N 0 Y W J s Z U V u d H J p Z X M g L z 4 8 L 0 l 0 Z W 0 + P E l 0 Z W 0 + P E l 0 Z W 1 M b 2 N h d G l v b j 4 8 S X R l b V R 5 c G U + R m 9 y b X V s Y T w v S X R l b V R 5 c G U + P E l 0 Z W 1 Q Y X R o P l N l Y 3 R p b 2 4 x L 0 t E T C 9 I Z X Q l M j B r b 2 x v b X R 5 c G U l M j B p c y U y M G d l d 2 l q e m l n Z D w v S X R l b V B h d G g + P C 9 J d G V t T G 9 j Y X R p b 2 4 + P F N 0 Y W J s Z U V u d H J p Z X M g L z 4 8 L 0 l 0 Z W 0 + P E l 0 Z W 0 + P E l 0 Z W 1 M b 2 N h d G l v b j 4 8 S X R l b V R 5 c G U + R m 9 y b X V s Y T w v S X R l b V R 5 c G U + P E l 0 Z W 1 Q Y X R o P l N l Y 3 R p b 2 4 x L 0 t E T C 9 B Y W 5 n Z X B h c 3 Q l M j B p d G V t J T I w d G 9 l Z 2 V 2 b 2 V n Z D w v S X R l b V B h d G g + P C 9 J d G V t T G 9 j Y X R p b 2 4 + P F N 0 Y W J s Z U V u d H J p Z X M g L z 4 8 L 0 l 0 Z W 0 + P E l 0 Z W 0 + P E l 0 Z W 1 M b 2 N h d G l v b j 4 8 S X R l b V R 5 c G U + R m 9 y b X V s Y T w v S X R l b V R 5 c G U + P E l 0 Z W 1 Q Y X R o P l N l Y 3 R p b 2 4 x L 0 t E T C 9 W b 2 9 y d 2 F h c m R l b G l q a 2 U l M j B r b 2 x v b S U y M G l u Z 2 V 2 b 2 V n Z D w v S X R l b V B h d G g + P C 9 J d G V t T G 9 j Y X R p b 2 4 + P F N 0 Y W J s Z U V u d H J p Z X M g L z 4 8 L 0 l 0 Z W 0 + P E l 0 Z W 0 + P E l 0 Z W 1 M b 2 N h d G l v b j 4 8 S X R l b V R 5 c G U + R m 9 y b X V s Y T w v S X R l b V R 5 c G U + P E l 0 Z W 1 Q Y X R o P l N l Y 3 R p b 2 4 x L 0 t E T C 9 B Y W 5 n Z X B h c 3 Q l M j B p d G V t J T I w d G 9 l Z 2 V 2 b 2 V n Z D E 8 L 0 l 0 Z W 1 Q Y X R o P j w v S X R l b U x v Y 2 F 0 a W 9 u P j x T d G F i b G V F b n R y a W V z I C 8 + P C 9 J d G V t P j x J d G V t P j x J d G V t T G 9 j Y X R p b 2 4 + P E l 0 Z W 1 U e X B l P k Z v c m 1 1 b G E 8 L 0 l 0 Z W 1 U e X B l P j x J d G V t U G F 0 a D 5 T Z W N 0 a W 9 u M S 9 L R E w v V m 9 v c n d h Y X J k Z W x p a m t l J T I w a 2 9 s b 2 0 l M j B p b m d l d m 9 l Z 2 Q x P C 9 J d G V t U G F 0 a D 4 8 L 0 l 0 Z W 1 M b 2 N h d G l v b j 4 8 U 3 R h Y m x l R W 5 0 c m l l c y A v P j w v S X R l b T 4 8 S X R l b T 4 8 S X R l b U x v Y 2 F 0 a W 9 u P j x J d G V t V H l w Z T 5 G b 3 J t d W x h P C 9 J d G V t V H l w Z T 4 8 S X R l b V B h d G g + U 2 V j d G l v b j E v S 0 R M L 0 F h b m d l c G F z d C U y M G l 0 Z W 0 l M j B 0 b 2 V n Z X Z v Z W d k M j w v S X R l b V B h d G g + P C 9 J d G V t T G 9 j Y X R p b 2 4 + P F N 0 Y W J s Z U V u d H J p Z X M g L z 4 8 L 0 l 0 Z W 0 + P E l 0 Z W 0 + P E l 0 Z W 1 M b 2 N h d G l v b j 4 8 S X R l b V R 5 c G U + R m 9 y b X V s Y T w v S X R l b V R 5 c G U + P E l 0 Z W 1 Q Y X R o P l N l Y 3 R p b 2 4 x L 0 t E T C 9 W b 2 9 y d 2 F h c m R l b G l q a 2 U l M j B r b 2 x v b S U y M G l u Z 2 V 2 b 2 V n Z D I 8 L 0 l 0 Z W 1 Q Y X R o P j w v S X R l b U x v Y 2 F 0 a W 9 u P j x T d G F i b G V F b n R y a W V z I C 8 + P C 9 J d G V t P j x J d G V t P j x J d G V t T G 9 j Y X R p b 2 4 + P E l 0 Z W 1 U e X B l P k Z v c m 1 1 b G E 8 L 0 l 0 Z W 1 U e X B l P j x J d G V t U G F 0 a D 5 T Z W N 0 a W 9 u M S 9 L R E w v Q W F u Z 2 V w Y X N 0 J T I w a X R l b S U y M H R v Z W d l d m 9 l Z 2 Q z P C 9 J d G V t U G F 0 a D 4 8 L 0 l 0 Z W 1 M b 2 N h d G l v b j 4 8 U 3 R h Y m x l R W 5 0 c m l l c y A v P j w v S X R l b T 4 8 S X R l b T 4 8 S X R l b U x v Y 2 F 0 a W 9 u P j x J d G V t V H l w Z T 5 G b 3 J t d W x h P C 9 J d G V t V H l w Z T 4 8 S X R l b V B h d G g + U 2 V j d G l v b j E v S 0 R M L 1 Z v b 3 J 3 Y W F y Z G V s a W p r Z S U y M G t v b G 9 t J T I w a W 5 n Z X Z v Z W d k M z w v S X R l b V B h d G g + P C 9 J d G V t T G 9 j Y X R p b 2 4 + P F N 0 Y W J s Z U V u d H J p Z X M g L z 4 8 L 0 l 0 Z W 0 + P E l 0 Z W 0 + P E l 0 Z W 1 M b 2 N h d G l v b j 4 8 S X R l b V R 5 c G U + R m 9 y b X V s Y T w v S X R l b V R 5 c G U + P E l 0 Z W 1 Q Y X R o P l N l Y 3 R p b 2 4 x L 0 t E T C 9 B Y W 5 n Z X B h c 3 Q l M j B p d G V t J T I w d G 9 l Z 2 V 2 b 2 V n Z D Q 8 L 0 l 0 Z W 1 Q Y X R o P j w v S X R l b U x v Y 2 F 0 a W 9 u P j x T d G F i b G V F b n R y a W V z I C 8 + P C 9 J d G V t P j x J d G V t P j x J d G V t T G 9 j Y X R p b 2 4 + P E l 0 Z W 1 U e X B l P k Z v c m 1 1 b G E 8 L 0 l 0 Z W 1 U e X B l P j x J d G V t U G F 0 a D 5 T Z W N 0 a W 9 u M S 9 L R E w v V m 9 v c n d h Y X J k Z W x p a m t l J T I w a 2 9 s b 2 0 l M j B p b m d l d m 9 l Z 2 Q 0 P C 9 J d G V t U G F 0 a D 4 8 L 0 l 0 Z W 1 M b 2 N h d G l v b j 4 8 U 3 R h Y m x l R W 5 0 c m l l c y A v P j w v S X R l b T 4 8 S X R l b T 4 8 S X R l b U x v Y 2 F 0 a W 9 u P j x J d G V t V H l w Z T 5 G b 3 J t d W x h P C 9 J d G V t V H l w Z T 4 8 S X R l b V B h d G g + U 2 V j d G l v b j E v S 0 R M L 0 F h b m d l c G F z d C U y M G l 0 Z W 0 l M j B 0 b 2 V n Z X Z v Z W d k N T w v S X R l b V B h d G g + P C 9 J d G V t T G 9 j Y X R p b 2 4 + P F N 0 Y W J s Z U V u d H J p Z X M g L z 4 8 L 0 l 0 Z W 0 + P E l 0 Z W 0 + P E l 0 Z W 1 M b 2 N h d G l v b j 4 8 S X R l b V R 5 c G U + R m 9 y b X V s Y T w v S X R l b V R 5 c G U + P E l 0 Z W 1 Q Y X R o P l N l Y 3 R p b 2 4 x L 0 t E T C 9 W b 2 9 y d 2 F h c m R l b G l q a 2 U l M j B r b 2 x v b S U y M G l u Z 2 V 2 b 2 V n Z D U 8 L 0 l 0 Z W 1 Q Y X R o P j w v S X R l b U x v Y 2 F 0 a W 9 u P j x T d G F i b G V F b n R y a W V z I C 8 + P C 9 J d G V t P j x J d G V t P j x J d G V t T G 9 j Y X R p b 2 4 + P E l 0 Z W 1 U e X B l P k Z v c m 1 1 b G E 8 L 0 l 0 Z W 1 U e X B l P j x J d G V t U G F 0 a D 5 T Z W N 0 a W 9 u M S 9 L R E w v Q W F u Z 2 V w Y X N 0 J T I w a X R l b S U y M H R v Z W d l d m 9 l Z 2 Q 2 P C 9 J d G V t U G F 0 a D 4 8 L 0 l 0 Z W 1 M b 2 N h d G l v b j 4 8 U 3 R h Y m x l R W 5 0 c m l l c y A v P j w v S X R l b T 4 8 S X R l b T 4 8 S X R l b U x v Y 2 F 0 a W 9 u P j x J d G V t V H l w Z T 5 G b 3 J t d W x h P C 9 J d G V t V H l w Z T 4 8 S X R l b V B h d G g + U 2 V j d G l v b j E v S 0 R M L 1 Z v b 3 J 3 Y W F y Z G V s a W p r Z S U y M G t v b G 9 t J T I w a W 5 n Z X Z v Z W d k N j w v S X R l b V B h d G g + P C 9 J d G V t T G 9 j Y X R p b 2 4 + P F N 0 Y W J s Z U V u d H J p Z X M g L z 4 8 L 0 l 0 Z W 0 + P E l 0 Z W 0 + P E l 0 Z W 1 M b 2 N h d G l v b j 4 8 S X R l b V R 5 c G U + R m 9 y b X V s Y T w v S X R l b V R 5 c G U + P E l 0 Z W 1 Q Y X R o P l N l Y 3 R p b 2 4 x L 0 t E T C 9 B Y W 5 n Z X B h c 3 Q l M j B p d G V t J T I w d G 9 l Z 2 V 2 b 2 V n Z D c 8 L 0 l 0 Z W 1 Q Y X R o P j w v S X R l b U x v Y 2 F 0 a W 9 u P j x T d G F i b G V F b n R y a W V z I C 8 + P C 9 J d G V t P j x J d G V t P j x J d G V t T G 9 j Y X R p b 2 4 + P E l 0 Z W 1 U e X B l P k Z v c m 1 1 b G E 8 L 0 l 0 Z W 1 U e X B l P j x J d G V t U G F 0 a D 5 T Z W N 0 a W 9 u M S 9 L R E w v V m 9 v c n d h Y X J k Z W x p a m t l J T I w a 2 9 s b 2 0 l M j B p b m d l d m 9 l Z 2 Q 3 P C 9 J d G V t U G F 0 a D 4 8 L 0 l 0 Z W 1 M b 2 N h d G l v b j 4 8 U 3 R h Y m x l R W 5 0 c m l l c y A v P j w v S X R l b T 4 8 S X R l b T 4 8 S X R l b U x v Y 2 F 0 a W 9 u P j x J d G V t V H l w Z T 5 G b 3 J t d W x h P C 9 J d G V t V H l w Z T 4 8 S X R l b V B h d G g + U 2 V j d G l v b j E v S 0 R M L 0 F h b m d l c G F z d C U y M G l 0 Z W 0 l M j B 0 b 2 V n Z X Z v Z W d k O D w v S X R l b V B h d G g + P C 9 J d G V t T G 9 j Y X R p b 2 4 + P F N 0 Y W J s Z U V u d H J p Z X M g L z 4 8 L 0 l 0 Z W 0 + P E l 0 Z W 0 + P E l 0 Z W 1 M b 2 N h d G l v b j 4 8 S X R l b V R 5 c G U + R m 9 y b X V s Y T w v S X R l b V R 5 c G U + P E l 0 Z W 1 Q Y X R o P l N l Y 3 R p b 2 4 x L 0 t E T C 9 W b 2 9 y d 2 F h c m R l b G l q a 2 U l M j B r b 2 x v b S U y M G l u Z 2 V 2 b 2 V n Z D g 8 L 0 l 0 Z W 1 Q Y X R o P j w v S X R l b U x v Y 2 F 0 a W 9 u P j x T d G F i b G V F b n R y a W V z I C 8 + P C 9 J d G V t P j x J d G V t P j x J d G V t T G 9 j Y X R p b 2 4 + P E l 0 Z W 1 U e X B l P k Z v c m 1 1 b G E 8 L 0 l 0 Z W 1 U e X B l P j x J d G V t U G F 0 a D 5 T Z W N 0 a W 9 u M S 9 L R E w v Q W F u Z 2 V w Y X N 0 J T I w a X R l b S U y M H R v Z W d l d m 9 l Z 2 Q 5 P C 9 J d G V t U G F 0 a D 4 8 L 0 l 0 Z W 1 M b 2 N h d G l v b j 4 8 U 3 R h Y m x l R W 5 0 c m l l c y A v P j w v S X R l b T 4 8 S X R l b T 4 8 S X R l b U x v Y 2 F 0 a W 9 u P j x J d G V t V H l w Z T 5 G b 3 J t d W x h P C 9 J d G V t V H l w Z T 4 8 S X R l b V B h d G g + U 2 V j d G l v b j E v S 0 R M L 1 Z v b 3 J 3 Y W F y Z G V s a W p r Z S U y M G t v b G 9 t J T I w a W 5 n Z X Z v Z W d k O T w v S X R l b V B h d G g + P C 9 J d G V t T G 9 j Y X R p b 2 4 + P F N 0 Y W J s Z U V u d H J p Z X M g L z 4 8 L 0 l 0 Z W 0 + P E l 0 Z W 0 + P E l 0 Z W 1 M b 2 N h d G l v b j 4 8 S X R l b V R 5 c G U + R m 9 y b X V s Y T w v S X R l b V R 5 c G U + P E l 0 Z W 1 Q Y X R o P l N l Y 3 R p b 2 4 x L 0 t E T C 9 B Y W 5 n Z X B h c 3 Q l M j B p d G V t J T I w d G 9 l Z 2 V 2 b 2 V n Z D E w P C 9 J d G V t U G F 0 a D 4 8 L 0 l 0 Z W 1 M b 2 N h d G l v b j 4 8 U 3 R h Y m x l R W 5 0 c m l l c y A v P j w v S X R l b T 4 8 S X R l b T 4 8 S X R l b U x v Y 2 F 0 a W 9 u P j x J d G V t V H l w Z T 5 G b 3 J t d W x h P C 9 J d G V t V H l w Z T 4 8 S X R l b V B h d G g + U 2 V j d G l v b j E v S 0 R M L 1 Z v b 3 J 3 Y W F y Z G V s a W p r Z S U y M G t v b G 9 t J T I w a W 5 n Z X Z v Z W d k M T A 8 L 0 l 0 Z W 1 Q Y X R o P j w v S X R l b U x v Y 2 F 0 a W 9 u P j x T d G F i b G V F b n R y a W V z I C 8 + P C 9 J d G V t P j x J d G V t P j x J d G V t T G 9 j Y X R p b 2 4 + P E l 0 Z W 1 U e X B l P k Z v c m 1 1 b G E 8 L 0 l 0 Z W 1 U e X B l P j x J d G V t U G F 0 a D 5 T Z W N 0 a W 9 u M S 9 L R E w v Q W F u Z 2 V w Y X N 0 J T I w a X R l b S U y M H R v Z W d l d m 9 l Z 2 Q x M T w v S X R l b V B h d G g + P C 9 J d G V t T G 9 j Y X R p b 2 4 + P F N 0 Y W J s Z U V u d H J p Z X M g L z 4 8 L 0 l 0 Z W 0 + P E l 0 Z W 0 + P E l 0 Z W 1 M b 2 N h d G l v b j 4 8 S X R l b V R 5 c G U + R m 9 y b X V s Y T w v S X R l b V R 5 c G U + P E l 0 Z W 1 Q Y X R o P l N l Y 3 R p b 2 4 x L 0 t E T C 9 W b 2 9 y d 2 F h c m R l b G l q a 2 U l M j B r b 2 x v b S U y M G l u Z 2 V 2 b 2 V n Z D E x P C 9 J d G V t U G F 0 a D 4 8 L 0 l 0 Z W 1 M b 2 N h d G l v b j 4 8 U 3 R h Y m x l R W 5 0 c m l l c y A v P j w v S X R l b T 4 8 S X R l b T 4 8 S X R l b U x v Y 2 F 0 a W 9 u P j x J d G V t V H l w Z T 5 G b 3 J t d W x h P C 9 J d G V t V H l w Z T 4 8 S X R l b V B h d G g + U 2 V j d G l v b j E v S 0 R M L 0 F h b m d l c G F z d C U y M G l 0 Z W 0 l M j B 0 b 2 V n Z X Z v Z W d k M T I 8 L 0 l 0 Z W 1 Q Y X R o P j w v S X R l b U x v Y 2 F 0 a W 9 u P j x T d G F i b G V F b n R y a W V z I C 8 + P C 9 J d G V t P j x J d G V t P j x J d G V t T G 9 j Y X R p b 2 4 + P E l 0 Z W 1 U e X B l P k Z v c m 1 1 b G E 8 L 0 l 0 Z W 1 U e X B l P j x J d G V t U G F 0 a D 5 T Z W N 0 a W 9 u M S 9 L R E w v V m 9 v c n d h Y X J k Z W x p a m t l J T I w a 2 9 s b 2 0 l M j B p b m d l d m 9 l Z 2 Q x M j w v S X R l b V B h d G g + P C 9 J d G V t T G 9 j Y X R p b 2 4 + P F N 0 Y W J s Z U V u d H J p Z X M g L z 4 8 L 0 l 0 Z W 0 + P E l 0 Z W 0 + P E l 0 Z W 1 M b 2 N h d G l v b j 4 8 S X R l b V R 5 c G U + R m 9 y b X V s Y T w v S X R l b V R 5 c G U + P E l 0 Z W 1 Q Y X R o P l N l Y 3 R p b 2 4 x L 0 t E T C 9 B Y W 5 n Z X B h c 3 Q l M j B p d G V t J T I w d G 9 l Z 2 V 2 b 2 V n Z D E z P C 9 J d G V t U G F 0 a D 4 8 L 0 l 0 Z W 1 M b 2 N h d G l v b j 4 8 U 3 R h Y m x l R W 5 0 c m l l c y A v P j w v S X R l b T 4 8 S X R l b T 4 8 S X R l b U x v Y 2 F 0 a W 9 u P j x J d G V t V H l w Z T 5 G b 3 J t d W x h P C 9 J d G V t V H l w Z T 4 8 S X R l b V B h d G g + U 2 V j d G l v b j E v S 0 R M L 1 Z v b 3 J 3 Y W F y Z G V s a W p r Z S U y M G t v b G 9 t J T I w a W 5 n Z X Z v Z W d k M T M 8 L 0 l 0 Z W 1 Q Y X R o P j w v S X R l b U x v Y 2 F 0 a W 9 u P j x T d G F i b G V F b n R y a W V z I C 8 + P C 9 J d G V t P j x J d G V t P j x J d G V t T G 9 j Y X R p b 2 4 + P E l 0 Z W 1 U e X B l P k Z v c m 1 1 b G E 8 L 0 l 0 Z W 1 U e X B l P j x J d G V t U G F 0 a D 5 T Z W N 0 a W 9 u M S 9 L R E w v Q W F u Z 2 V w Y X N 0 J T I w a X R l b S U y M H R v Z W d l d m 9 l Z 2 Q x N D w v S X R l b V B h d G g + P C 9 J d G V t T G 9 j Y X R p b 2 4 + P F N 0 Y W J s Z U V u d H J p Z X M g L z 4 8 L 0 l 0 Z W 0 + P E l 0 Z W 0 + P E l 0 Z W 1 M b 2 N h d G l v b j 4 8 S X R l b V R 5 c G U + R m 9 y b X V s Y T w v S X R l b V R 5 c G U + P E l 0 Z W 1 Q Y X R o P l N l Y 3 R p b 2 4 x L 0 t E T C 9 W b 2 9 y d 2 F h c m R l b G l q a 2 U l M j B r b 2 x v b S U y M G l u Z 2 V 2 b 2 V n Z D E 0 P C 9 J d G V t U G F 0 a D 4 8 L 0 l 0 Z W 1 M b 2 N h d G l v b j 4 8 U 3 R h Y m x l R W 5 0 c m l l c y A v P j w v S X R l b T 4 8 S X R l b T 4 8 S X R l b U x v Y 2 F 0 a W 9 u P j x J d G V t V H l w Z T 5 G b 3 J t d W x h P C 9 J d G V t V H l w Z T 4 8 S X R l b V B h d G g + U 2 V j d G l v b j E v S 0 R M L 0 F h b m d l c G F z d C U y M G l 0 Z W 0 l M j B 0 b 2 V n Z X Z v Z W d k M T U 8 L 0 l 0 Z W 1 Q Y X R o P j w v S X R l b U x v Y 2 F 0 a W 9 u P j x T d G F i b G V F b n R y a W V z I C 8 + P C 9 J d G V t P j x J d G V t P j x J d G V t T G 9 j Y X R p b 2 4 + P E l 0 Z W 1 U e X B l P k Z v c m 1 1 b G E 8 L 0 l 0 Z W 1 U e X B l P j x J d G V t U G F 0 a D 5 T Z W N 0 a W 9 u M S 9 L R E w v V m 9 v c n d h Y X J k Z W x p a m t l J T I w a 2 9 s b 2 0 l M j B p b m d l d m 9 l Z 2 Q x N T w v S X R l b V B h d G g + P C 9 J d G V t T G 9 j Y X R p b 2 4 + P F N 0 Y W J s Z U V u d H J p Z X M g L z 4 8 L 0 l 0 Z W 0 + P E l 0 Z W 0 + P E l 0 Z W 1 M b 2 N h d G l v b j 4 8 S X R l b V R 5 c G U + R m 9 y b X V s Y T w v S X R l b V R 5 c G U + P E l 0 Z W 1 Q Y X R o P l N l Y 3 R p b 2 4 x L 0 t E T C 9 B Y W 5 n Z X B h c 3 Q l M j B p d G V t J T I w d G 9 l Z 2 V 2 b 2 V n Z D E 2 P C 9 J d G V t U G F 0 a D 4 8 L 0 l 0 Z W 1 M b 2 N h d G l v b j 4 8 U 3 R h Y m x l R W 5 0 c m l l c y A v P j w v S X R l b T 4 8 S X R l b T 4 8 S X R l b U x v Y 2 F 0 a W 9 u P j x J d G V t V H l w Z T 5 G b 3 J t d W x h P C 9 J d G V t V H l w Z T 4 8 S X R l b V B h d G g + U 2 V j d G l v b j E v S 0 R M L 1 Z v b 3 J 3 Y W F y Z G V s a W p r Z S U y M G t v b G 9 t J T I w a W 5 n Z X Z v Z W d k M T Y 8 L 0 l 0 Z W 1 Q Y X R o P j w v S X R l b U x v Y 2 F 0 a W 9 u P j x T d G F i b G V F b n R y a W V z I C 8 + P C 9 J d G V t P j x J d G V t P j x J d G V t T G 9 j Y X R p b 2 4 + P E l 0 Z W 1 U e X B l P k Z v c m 1 1 b G E 8 L 0 l 0 Z W 1 U e X B l P j x J d G V t U G F 0 a D 5 T Z W N 0 a W 9 u M S 9 L R E w v Q W F u Z 2 V w Y X N 0 J T I w a X R l b S U y M H R v Z W d l d m 9 l Z 2 Q x N z w v S X R l b V B h d G g + P C 9 J d G V t T G 9 j Y X R p b 2 4 + P F N 0 Y W J s Z U V u d H J p Z X M g L z 4 8 L 0 l 0 Z W 0 + P E l 0 Z W 0 + P E l 0 Z W 1 M b 2 N h d G l v b j 4 8 S X R l b V R 5 c G U + R m 9 y b X V s Y T w v S X R l b V R 5 c G U + P E l 0 Z W 1 Q Y X R o P l N l Y 3 R p b 2 4 x L 0 t E T C 9 W b 2 9 y d 2 F h c m R l b G l q a 2 U l M j B r b 2 x v b S U y M G l u Z 2 V 2 b 2 V n Z D E 3 P C 9 J d G V t U G F 0 a D 4 8 L 0 l 0 Z W 1 M b 2 N h d G l v b j 4 8 U 3 R h Y m x l R W 5 0 c m l l c y A v P j w v S X R l b T 4 8 S X R l b T 4 8 S X R l b U x v Y 2 F 0 a W 9 u P j x J d G V t V H l w Z T 5 G b 3 J t d W x h P C 9 J d G V t V H l w Z T 4 8 S X R l b V B h d G g + U 2 V j d G l v b j E v S 0 R M L 0 F h b m d l c G F z d C U y M G l 0 Z W 0 l M j B 0 b 2 V n Z X Z v Z W d k M T g 8 L 0 l 0 Z W 1 Q Y X R o P j w v S X R l b U x v Y 2 F 0 a W 9 u P j x T d G F i b G V F b n R y a W V z I C 8 + P C 9 J d G V t P j x J d G V t P j x J d G V t T G 9 j Y X R p b 2 4 + P E l 0 Z W 1 U e X B l P k Z v c m 1 1 b G E 8 L 0 l 0 Z W 1 U e X B l P j x J d G V t U G F 0 a D 5 T Z W N 0 a W 9 u M S 9 L R E w v V m 9 v c n d h Y X J k Z W x p a m t l J T I w a 2 9 s b 2 0 l M j B p b m d l d m 9 l Z 2 Q x O D w v S X R l b V B h d G g + P C 9 J d G V t T G 9 j Y X R p b 2 4 + P F N 0 Y W J s Z U V u d H J p Z X M g L z 4 8 L 0 l 0 Z W 0 + P E l 0 Z W 0 + P E l 0 Z W 1 M b 2 N h d G l v b j 4 8 S X R l b V R 5 c G U + R m 9 y b X V s Y T w v S X R l b V R 5 c G U + P E l 0 Z W 1 Q Y X R o P l N l Y 3 R p b 2 4 x L 0 t E T C 9 B Y W 5 n Z X B h c 3 Q l M j B p d G V t J T I w d G 9 l Z 2 V 2 b 2 V n Z D E 5 P C 9 J d G V t U G F 0 a D 4 8 L 0 l 0 Z W 1 M b 2 N h d G l v b j 4 8 U 3 R h Y m x l R W 5 0 c m l l c y A v P j w v S X R l b T 4 8 S X R l b T 4 8 S X R l b U x v Y 2 F 0 a W 9 u P j x J d G V t V H l w Z T 5 G b 3 J t d W x h P C 9 J d G V t V H l w Z T 4 8 S X R l b V B h d G g + U 2 V j d G l v b j E v S 0 R M L 1 Z v b 3 J 3 Y W F y Z G V s a W p r Z S U y M G t v b G 9 t J T I w a W 5 n Z X Z v Z W d k M T k 8 L 0 l 0 Z W 1 Q Y X R o P j w v S X R l b U x v Y 2 F 0 a W 9 u P j x T d G F i b G V F b n R y a W V z I C 8 + P C 9 J d G V t P j x J d G V t P j x J d G V t T G 9 j Y X R p b 2 4 + P E l 0 Z W 1 U e X B l P k Z v c m 1 1 b G E 8 L 0 l 0 Z W 1 U e X B l P j x J d G V t U G F 0 a D 5 T Z W N 0 a W 9 u M S 9 L R E w v Q W F u Z 2 V w Y X N 0 J T I w a X R l b S U y M H R v Z W d l d m 9 l Z 2 Q y M D w v S X R l b V B h d G g + P C 9 J d G V t T G 9 j Y X R p b 2 4 + P F N 0 Y W J s Z U V u d H J p Z X M g L z 4 8 L 0 l 0 Z W 0 + P E l 0 Z W 0 + P E l 0 Z W 1 M b 2 N h d G l v b j 4 8 S X R l b V R 5 c G U + R m 9 y b X V s Y T w v S X R l b V R 5 c G U + P E l 0 Z W 1 Q Y X R o P l N l Y 3 R p b 2 4 x L 0 t E T C 9 B Y W 5 n Z X B h c 3 Q l M j B p d G V t J T I w d G 9 l Z 2 V 2 b 2 V n Z D I x P C 9 J d G V t U G F 0 a D 4 8 L 0 l 0 Z W 1 M b 2 N h d G l v b j 4 8 U 3 R h Y m x l R W 5 0 c m l l c y A v P j w v S X R l b T 4 8 S X R l b T 4 8 S X R l b U x v Y 2 F 0 a W 9 u P j x J d G V t V H l w Z T 5 G b 3 J t d W x h P C 9 J d G V t V H l w Z T 4 8 S X R l b V B h d G g + U 2 V j d G l v b j E v S 0 R M L 0 F h b m d l c G F z d C U y M G l 0 Z W 0 l M j B 0 b 2 V n Z X Z v Z W d k M j I 8 L 0 l 0 Z W 1 Q Y X R o P j w v S X R l b U x v Y 2 F 0 a W 9 u P j x T d G F i b G V F b n R y a W V z I C 8 + P C 9 J d G V t P j x J d G V t P j x J d G V t T G 9 j Y X R p b 2 4 + P E l 0 Z W 1 U e X B l P k Z v c m 1 1 b G E 8 L 0 l 0 Z W 1 U e X B l P j x J d G V t U G F 0 a D 5 T Z W N 0 a W 9 u M S 9 L R E w v T m F t Z W 4 l M j B 2 Y W 4 l M j B r b 2 x v b W 1 l b i U y M G d l d 2 l q e m l n Z C U y M D E 8 L 0 l 0 Z W 1 Q Y X R o P j w v S X R l b U x v Y 2 F 0 a W 9 u P j x T d G F i b G V F b n R y a W V z I C 8 + P C 9 J d G V t P j x J d G V t P j x J d G V t T G 9 j Y X R p b 2 4 + P E l 0 Z W 1 U e X B l P k Z v c m 1 1 b G E 8 L 0 l 0 Z W 1 U e X B l P j x J d G V t U G F 0 a D 5 T Z W N 0 a W 9 u M S 9 L R E w v T m F t Z W 4 l M j B 2 Y W 4 l M j B r b 2 x v b W 1 l b i U y M G d l d 2 l q e m l n Z C U y M D I 8 L 0 l 0 Z W 1 Q Y X R o P j w v S X R l b U x v Y 2 F 0 a W 9 u P j x T d G F i b G V F b n R y a W V z I C 8 + P C 9 J d G V t P j x J d G V t P j x J d G V t T G 9 j Y X R p b 2 4 + P E l 0 Z W 1 U e X B l P k Z v c m 1 1 b G E 8 L 0 l 0 Z W 1 U e X B l P j x J d G V t U G F 0 a D 5 T Z W N 0 a W 9 u M S 9 L R E w v S 2 9 s b 2 1 t Z W 4 l M j B 2 Z X J 3 a W p k Z X J k P C 9 J d G V t U G F 0 a D 4 8 L 0 l 0 Z W 1 M b 2 N h d G l v b j 4 8 U 3 R h Y m x l R W 5 0 c m l l c y A v P j w v S X R l b T 4 8 S X R l b T 4 8 S X R l b U x v Y 2 F 0 a W 9 u P j x J d G V t V H l w Z T 5 G b 3 J t d W x h P C 9 J d G V t V H l w Z T 4 8 S X R l b V B h d G g + U 2 V j d G l v b j E v S 0 R M L 0 t v b G 9 t b W V u J T I w d m V y d 2 l q Z G V y Z C U y M D E 8 L 0 l 0 Z W 1 Q Y X R o P j w v S X R l b U x v Y 2 F 0 a W 9 u P j x T d G F i b G V F b n R y a W V z I C 8 + P C 9 J d G V t P j x J d G V t P j x J d G V t T G 9 j Y X R p b 2 4 + P E l 0 Z W 1 U e X B l P k Z v c m 1 1 b G E 8 L 0 l 0 Z W 1 U e X B l P j x J d G V t U G F 0 a D 5 T Z W N 0 a W 9 u M S 9 L R E w v Q W F u Z 2 V w Y X N 0 J T I w a X R l b S U y M H R v Z W d l d m 9 l Z 2 Q y O D w v S X R l b V B h d G g + P C 9 J d G V t T G 9 j Y X R p b 2 4 + P F N 0 Y W J s Z U V u d H J p Z X M g L z 4 8 L 0 l 0 Z W 0 + P E l 0 Z W 0 + P E l 0 Z W 1 M b 2 N h d G l v b j 4 8 S X R l b V R 5 c G U + R m 9 y b X V s Y T w v S X R l b V R 5 c G U + P E l 0 Z W 1 Q Y X R o P l N l Y 3 R p b 2 4 x L 0 t E T C 9 B Y W 5 n Z X B h c 3 Q l M j B p d G V t J T I w d G 9 l Z 2 V 2 b 2 V n Z D I 5 P C 9 J d G V t U G F 0 a D 4 8 L 0 l 0 Z W 1 M b 2 N h d G l v b j 4 8 U 3 R h Y m x l R W 5 0 c m l l c y A v P j w v S X R l b T 4 8 S X R l b T 4 8 S X R l b U x v Y 2 F 0 a W 9 u P j x J d G V t V H l w Z T 5 G b 3 J t d W x h P C 9 J d G V t V H l w Z T 4 8 S X R l b V B h d G g + U 2 V j d G l v b j E v S 0 R M L 0 F h b m d l c G F z d C U y M G l 0 Z W 0 l M j B 0 b 2 V n Z X Z v Z W d k M z A 8 L 0 l 0 Z W 1 Q Y X R o P j w v S X R l b U x v Y 2 F 0 a W 9 u P j x T d G F i b G V F b n R y a W V z I C 8 + P C 9 J d G V t P j x J d G V t P j x J d G V t T G 9 j Y X R p b 2 4 + P E l 0 Z W 1 U e X B l P k Z v c m 1 1 b G E 8 L 0 l 0 Z W 1 U e X B l P j x J d G V t U G F 0 a D 5 T Z W N 0 a W 9 u M S 9 L R E w v Q W F u Z 2 V w Y X N 0 J T I w a X R l b S U y M H R v Z W d l d m 9 l Z 2 Q z M T w v S X R l b V B h d G g + P C 9 J d G V t T G 9 j Y X R p b 2 4 + P F N 0 Y W J s Z U V u d H J p Z X M g L z 4 8 L 0 l 0 Z W 0 + P E l 0 Z W 0 + P E l 0 Z W 1 M b 2 N h d G l v b j 4 8 S X R l b V R 5 c G U + R m 9 y b X V s Y T w v S X R l b V R 5 c G U + P E l 0 Z W 1 Q Y X R o P l N l Y 3 R p b 2 4 x L 0 t E T C 9 B Y W 5 n Z X B h c 3 Q l M j B p d G V t J T I w d G 9 l Z 2 V 2 b 2 V n Z D M y P C 9 J d G V t U G F 0 a D 4 8 L 0 l 0 Z W 1 M b 2 N h d G l v b j 4 8 U 3 R h Y m x l R W 5 0 c m l l c y A v P j w v S X R l b T 4 8 S X R l b T 4 8 S X R l b U x v Y 2 F 0 a W 9 u P j x J d G V t V H l w Z T 5 G b 3 J t d W x h P C 9 J d G V t V H l w Z T 4 8 S X R l b V B h d G g + U 2 V j d G l v b j E v S 0 R M L 0 F h b m d l c G F z d C U y M G l 0 Z W 0 l M j B 0 b 2 V n Z X Z v Z W d k M z M 8 L 0 l 0 Z W 1 Q Y X R o P j w v S X R l b U x v Y 2 F 0 a W 9 u P j x T d G F i b G V F b n R y a W V z I C 8 + P C 9 J d G V t P j x J d G V t P j x J d G V t T G 9 j Y X R p b 2 4 + P E l 0 Z W 1 U e X B l P k Z v c m 1 1 b G E 8 L 0 l 0 Z W 1 U e X B l P j x J d G V t U G F 0 a D 5 T Z W N 0 a W 9 u M S 9 L R E w v Q W F u Z 2 V w Y X N 0 J T I w a X R l b S U y M H R v Z W d l d m 9 l Z 2 Q z N D w v S X R l b V B h d G g + P C 9 J d G V t T G 9 j Y X R p b 2 4 + P F N 0 Y W J s Z U V u d H J p Z X M g L z 4 8 L 0 l 0 Z W 0 + P E l 0 Z W 0 + P E l 0 Z W 1 M b 2 N h d G l v b j 4 8 S X R l b V R 5 c G U + R m 9 y b X V s Y T w v S X R l b V R 5 c G U + P E l 0 Z W 1 Q Y X R o P l N l Y 3 R p b 2 4 x L 0 t E T C 9 B Y W 5 n Z X B h c 3 Q l M j B p d G V t J T I w d G 9 l Z 2 V 2 b 2 V n Z D M 1 P C 9 J d G V t U G F 0 a D 4 8 L 0 l 0 Z W 1 M b 2 N h d G l v b j 4 8 U 3 R h Y m x l R W 5 0 c m l l c y A v P j w v S X R l b T 4 8 S X R l b T 4 8 S X R l b U x v Y 2 F 0 a W 9 u P j x J d G V t V H l w Z T 5 G b 3 J t d W x h P C 9 J d G V t V H l w Z T 4 8 S X R l b V B h d G g + U 2 V j d G l v b j E v S 0 R M L 0 F h b m d l c G F z d C U y M G l 0 Z W 0 l M j B 0 b 2 V n Z X Z v Z W d k M z Y 8 L 0 l 0 Z W 1 Q Y X R o P j w v S X R l b U x v Y 2 F 0 a W 9 u P j x T d G F i b G V F b n R y a W V z I C 8 + P C 9 J d G V t P j x J d G V t P j x J d G V t T G 9 j Y X R p b 2 4 + P E l 0 Z W 1 U e X B l P k Z v c m 1 1 b G E 8 L 0 l 0 Z W 1 U e X B l P j x J d G V t U G F 0 a D 5 T Z W N 0 a W 9 u M S 9 L R E w v Q W F u Z 2 V w Y X N 0 J T I w a X R l b S U y M H R v Z W d l d m 9 l Z 2 Q z N z w v S X R l b V B h d G g + P C 9 J d G V t T G 9 j Y X R p b 2 4 + P F N 0 Y W J s Z U V u d H J p Z X M g L z 4 8 L 0 l 0 Z W 0 + P E l 0 Z W 0 + P E l 0 Z W 1 M b 2 N h d G l v b j 4 8 S X R l b V R 5 c G U + R m 9 y b X V s Y T w v S X R l b V R 5 c G U + P E l 0 Z W 1 Q Y X R o P l N l Y 3 R p b 2 4 x L 0 t E T C 9 B Y W 5 n Z X B h c 3 Q l M j B p d G V t J T I w d G 9 l Z 2 V 2 b 2 V n Z D M 4 P C 9 J d G V t U G F 0 a D 4 8 L 0 l 0 Z W 1 M b 2 N h d G l v b j 4 8 U 3 R h Y m x l R W 5 0 c m l l c y A v P j w v S X R l b T 4 8 S X R l b T 4 8 S X R l b U x v Y 2 F 0 a W 9 u P j x J d G V t V H l w Z T 5 G b 3 J t d W x h P C 9 J d G V t V H l w Z T 4 8 S X R l b V B h d G g + U 2 V j d G l v b j E v S 0 R M L 0 F h b m d l c G F z d C U y M G l 0 Z W 0 l M j B 0 b 2 V n Z X Z v Z W d k M z k 8 L 0 l 0 Z W 1 Q Y X R o P j w v S X R l b U x v Y 2 F 0 a W 9 u P j x T d G F i b G V F b n R y a W V z I C 8 + P C 9 J d G V t P j x J d G V t P j x J d G V t T G 9 j Y X R p b 2 4 + P E l 0 Z W 1 U e X B l P k Z v c m 1 1 b G E 8 L 0 l 0 Z W 1 U e X B l P j x J d G V t U G F 0 a D 5 T Z W N 0 a W 9 u M S 9 L R E w v Q W F u Z 2 V w Y X N 0 J T I w a X R l b S U y M H R v Z W d l d m 9 l Z 2 Q 0 M D w v S X R l b V B h d G g + P C 9 J d G V t T G 9 j Y X R p b 2 4 + P F N 0 Y W J s Z U V u d H J p Z X M g L z 4 8 L 0 l 0 Z W 0 + P E l 0 Z W 0 + P E l 0 Z W 1 M b 2 N h d G l v b j 4 8 S X R l b V R 5 c G U + R m 9 y b X V s Y T w v S X R l b V R 5 c G U + P E l 0 Z W 1 Q Y X R o P l N l Y 3 R p b 2 4 x L 0 t E T C 9 B Y W 5 n Z X B h c 3 Q l M j B p d G V t J T I w d G 9 l Z 2 V 2 b 2 V n Z D Q x P C 9 J d G V t U G F 0 a D 4 8 L 0 l 0 Z W 1 M b 2 N h d G l v b j 4 8 U 3 R h Y m x l R W 5 0 c m l l c y A v P j w v S X R l b T 4 8 S X R l b T 4 8 S X R l b U x v Y 2 F 0 a W 9 u P j x J d G V t V H l w Z T 5 G b 3 J t d W x h P C 9 J d G V t V H l w Z T 4 8 S X R l b V B h d G g + U 2 V j d G l v b j E v S 0 R M L 0 F h b m d l c G F z d C U y M G l 0 Z W 0 l M j B 0 b 2 V n Z X Z v Z W d k N D I 8 L 0 l 0 Z W 1 Q Y X R o P j w v S X R l b U x v Y 2 F 0 a W 9 u P j x T d G F i b G V F b n R y a W V z I C 8 + P C 9 J d G V t P j x J d G V t P j x J d G V t T G 9 j Y X R p b 2 4 + P E l 0 Z W 1 U e X B l P k Z v c m 1 1 b G E 8 L 0 l 0 Z W 1 U e X B l P j x J d G V t U G F 0 a D 5 T Z W N 0 a W 9 u M S 9 L R E w v Q W F u Z 2 V w Y X N 0 J T I w a X R l b S U y M H R v Z W d l d m 9 l Z 2 Q 0 M z w v S X R l b V B h d G g + P C 9 J d G V t T G 9 j Y X R p b 2 4 + P F N 0 Y W J s Z U V u d H J p Z X M g L z 4 8 L 0 l 0 Z W 0 + P E l 0 Z W 0 + P E l 0 Z W 1 M b 2 N h d G l v b j 4 8 S X R l b V R 5 c G U + R m 9 y b X V s Y T w v S X R l b V R 5 c G U + P E l 0 Z W 1 Q Y X R o P l N l Y 3 R p b 2 4 x L 0 t E T C 9 B Y W 5 n Z X B h c 3 Q l M j B p d G V t J T I w d G 9 l Z 2 V 2 b 2 V n Z D Q 0 P C 9 J d G V t U G F 0 a D 4 8 L 0 l 0 Z W 1 M b 2 N h d G l v b j 4 8 U 3 R h Y m x l R W 5 0 c m l l c y A v P j w v S X R l b T 4 8 S X R l b T 4 8 S X R l b U x v Y 2 F 0 a W 9 u P j x J d G V t V H l w Z T 5 G b 3 J t d W x h P C 9 J d G V t V H l w Z T 4 8 S X R l b V B h d G g + U 2 V j d G l v b j E v S 0 R M L 0 F h b m d l c G F z d C U y M G l 0 Z W 0 l M j B 0 b 2 V n Z X Z v Z W d k N D U 8 L 0 l 0 Z W 1 Q Y X R o P j w v S X R l b U x v Y 2 F 0 a W 9 u P j x T d G F i b G V F b n R y a W V z I C 8 + P C 9 J d G V t P j x J d G V t P j x J d G V t T G 9 j Y X R p b 2 4 + P E l 0 Z W 1 U e X B l P k Z v c m 1 1 b G E 8 L 0 l 0 Z W 1 U e X B l P j x J d G V t U G F 0 a D 5 T Z W N 0 a W 9 u M S 9 L R E w v Q W F u Z 2 V w Y X N 0 J T I w a X R l b S U y M H R v Z W d l d m 9 l Z 2 Q 0 N j w v S X R l b V B h d G g + P C 9 J d G V t T G 9 j Y X R p b 2 4 + P F N 0 Y W J s Z U V u d H J p Z X M g L z 4 8 L 0 l 0 Z W 0 + P E l 0 Z W 0 + P E l 0 Z W 1 M b 2 N h d G l v b j 4 8 S X R l b V R 5 c G U + R m 9 y b X V s Y T w v S X R l b V R 5 c G U + P E l 0 Z W 1 Q Y X R o P l N l Y 3 R p b 2 4 x L 0 t E T C 9 B Y W 5 n Z X B h c 3 Q l M j B p d G V t J T I w d G 9 l Z 2 V 2 b 2 V n Z D Q 3 P C 9 J d G V t U G F 0 a D 4 8 L 0 l 0 Z W 1 M b 2 N h d G l v b j 4 8 U 3 R h Y m x l R W 5 0 c m l l c y A v P j w v S X R l b T 4 8 S X R l b T 4 8 S X R l b U x v Y 2 F 0 a W 9 u P j x J d G V t V H l w Z T 5 G b 3 J t d W x h P C 9 J d G V t V H l w Z T 4 8 S X R l b V B h d G g + U 2 V j d G l v b j E v S 0 R M L 0 F h b m d l c G F z d C U y M G l 0 Z W 0 l M j B 0 b 2 V n Z X Z v Z W d k N D g 8 L 0 l 0 Z W 1 Q Y X R o P j w v S X R l b U x v Y 2 F 0 a W 9 u P j x T d G F i b G V F b n R y a W V z I C 8 + P C 9 J d G V t P j x J d G V t P j x J d G V t T G 9 j Y X R p b 2 4 + P E l 0 Z W 1 U e X B l P k Z v c m 1 1 b G E 8 L 0 l 0 Z W 1 U e X B l P j x J d G V t U G F 0 a D 5 T Z W N 0 a W 9 u M S 9 L R E w v Q W F u Z 2 V w Y X N 0 J T I w a X R l b S U y M H R v Z W d l d m 9 l Z 2 Q 0 O T w v S X R l b V B h d G g + P C 9 J d G V t T G 9 j Y X R p b 2 4 + P F N 0 Y W J s Z U V u d H J p Z X M g L z 4 8 L 0 l 0 Z W 0 + P E l 0 Z W 0 + P E l 0 Z W 1 M b 2 N h d G l v b j 4 8 S X R l b V R 5 c G U + R m 9 y b X V s Y T w v S X R l b V R 5 c G U + P E l 0 Z W 1 Q Y X R o P l N l Y 3 R p b 2 4 x L 0 t E T C 9 B Y W 5 n Z X B h c 3 Q l M j B p d G V t J T I w d G 9 l Z 2 V 2 b 2 V n Z D U w P C 9 J d G V t U G F 0 a D 4 8 L 0 l 0 Z W 1 M b 2 N h d G l v b j 4 8 U 3 R h Y m x l R W 5 0 c m l l c y A v P j w v S X R l b T 4 8 S X R l b T 4 8 S X R l b U x v Y 2 F 0 a W 9 u P j x J d G V t V H l w Z T 5 G b 3 J t d W x h P C 9 J d G V t V H l w Z T 4 8 S X R l b V B h d G g + U 2 V j d G l v b j E v S 0 R M L 0 F h b m d l c G F z d C U y M G l 0 Z W 0 l M j B 0 b 2 V n Z X Z v Z W d k N T E 8 L 0 l 0 Z W 1 Q Y X R o P j w v S X R l b U x v Y 2 F 0 a W 9 u P j x T d G F i b G V F b n R y a W V z I C 8 + P C 9 J d G V t P j x J d G V t P j x J d G V t T G 9 j Y X R p b 2 4 + P E l 0 Z W 1 U e X B l P k Z v c m 1 1 b G E 8 L 0 l 0 Z W 1 U e X B l P j x J d G V t U G F 0 a D 5 T Z W N 0 a W 9 u M S 9 L R E w v Q W F u Z 2 V w Y X N 0 J T I w a X R l b S U y M H R v Z W d l d m 9 l Z 2 Q 1 M j w v S X R l b V B h d G g + P C 9 J d G V t T G 9 j Y X R p b 2 4 + P F N 0 Y W J s Z U V u d H J p Z X M g L z 4 8 L 0 l 0 Z W 0 + P E l 0 Z W 0 + P E l 0 Z W 1 M b 2 N h d G l v b j 4 8 S X R l b V R 5 c G U + R m 9 y b X V s Y T w v S X R l b V R 5 c G U + P E l 0 Z W 1 Q Y X R o P l N l Y 3 R p b 2 4 x L 0 t E T C 9 B Y W 5 n Z X B h c 3 Q l M j B p d G V t J T I w d G 9 l Z 2 V 2 b 2 V n Z D U z P C 9 J d G V t U G F 0 a D 4 8 L 0 l 0 Z W 1 M b 2 N h d G l v b j 4 8 U 3 R h Y m x l R W 5 0 c m l l c y A v P j w v S X R l b T 4 8 S X R l b T 4 8 S X R l b U x v Y 2 F 0 a W 9 u P j x J d G V t V H l w Z T 5 G b 3 J t d W x h P C 9 J d G V t V H l w Z T 4 8 S X R l b V B h d G g + U 2 V j d G l v b j E v S 0 R M L 0 F h b m d l c G F z d C U y M G l 0 Z W 0 l M j B 0 b 2 V n Z X Z v Z W d k N T Q 8 L 0 l 0 Z W 1 Q Y X R o P j w v S X R l b U x v Y 2 F 0 a W 9 u P j x T d G F i b G V F b n R y a W V z I C 8 + P C 9 J d G V t P j x J d G V t P j x J d G V t T G 9 j Y X R p b 2 4 + P E l 0 Z W 1 U e X B l P k Z v c m 1 1 b G E 8 L 0 l 0 Z W 1 U e X B l P j x J d G V t U G F 0 a D 5 T Z W N 0 a W 9 u M S 9 L R E w v Q W F u Z 2 V w Y X N 0 J T I w a X R l b S U y M H R v Z W d l d m 9 l Z 2 Q 1 N T w v S X R l b V B h d G g + P C 9 J d G V t T G 9 j Y X R p b 2 4 + P F N 0 Y W J s Z U V u d H J p Z X M g L z 4 8 L 0 l 0 Z W 0 + P E l 0 Z W 0 + P E l 0 Z W 1 M b 2 N h d G l v b j 4 8 S X R l b V R 5 c G U + R m 9 y b X V s Y T w v S X R l b V R 5 c G U + P E l 0 Z W 1 Q Y X R o P l N l Y 3 R p b 2 4 x L 0 t E T C 9 B Y W 5 n Z X B h c 3 Q l M j B p d G V t J T I w d G 9 l Z 2 V 2 b 2 V n Z D U 2 P C 9 J d G V t U G F 0 a D 4 8 L 0 l 0 Z W 1 M b 2 N h d G l v b j 4 8 U 3 R h Y m x l R W 5 0 c m l l c y A v P j w v S X R l b T 4 8 S X R l b T 4 8 S X R l b U x v Y 2 F 0 a W 9 u P j x J d G V t V H l w Z T 5 G b 3 J t d W x h P C 9 J d G V t V H l w Z T 4 8 S X R l b V B h d G g + U 2 V j d G l v b j E v S 0 R M L 0 F h b m d l c G F z d C U y M G l 0 Z W 0 l M j B 0 b 2 V n Z X Z v Z W d k N T c 8 L 0 l 0 Z W 1 Q Y X R o P j w v S X R l b U x v Y 2 F 0 a W 9 u P j x T d G F i b G V F b n R y a W V z I C 8 + P C 9 J d G V t P j x J d G V t P j x J d G V t T G 9 j Y X R p b 2 4 + P E l 0 Z W 1 U e X B l P k Z v c m 1 1 b G E 8 L 0 l 0 Z W 1 U e X B l P j x J d G V t U G F 0 a D 5 T Z W N 0 a W 9 u M S 9 L R E w v V m 9 v c n d h Y X J k Z W x p a m t l J T I w a 2 9 s b 2 0 l M j B p b m d l d m 9 l Z 2 Q z M D w v S X R l b V B h d G g + P C 9 J d G V t T G 9 j Y X R p b 2 4 + P F N 0 Y W J s Z U V u d H J p Z X M g L z 4 8 L 0 l 0 Z W 0 + P E l 0 Z W 0 + P E l 0 Z W 1 M b 2 N h d G l v b j 4 8 S X R l b V R 5 c G U + R m 9 y b X V s Y T w v S X R l b V R 5 c G U + P E l 0 Z W 1 Q Y X R o P l N l Y 3 R p b 2 4 x L 0 t E T C 9 W b 2 9 y d 2 F h c m R l b G l q a 2 U l M j B r b 2 x v b S U y M G l u Z 2 V 2 b 2 V n Z D M x P C 9 J d G V t U G F 0 a D 4 8 L 0 l 0 Z W 1 M b 2 N h d G l v b j 4 8 U 3 R h Y m x l R W 5 0 c m l l c y A v P j w v S X R l b T 4 8 S X R l b T 4 8 S X R l b U x v Y 2 F 0 a W 9 u P j x J d G V t V H l w Z T 5 G b 3 J t d W x h P C 9 J d G V t V H l w Z T 4 8 S X R l b V B h d G g + U 2 V j d G l v b j E v S 0 R M L 1 Z v b 3 J 3 Y W F y Z G V s a W p r Z S U y M G t v b G 9 t J T I w a W 5 n Z X Z v Z W d k M z I 8 L 0 l 0 Z W 1 Q Y X R o P j w v S X R l b U x v Y 2 F 0 a W 9 u P j x T d G F i b G V F b n R y a W V z I C 8 + P C 9 J d G V t P j x J d G V t P j x J d G V t T G 9 j Y X R p b 2 4 + P E l 0 Z W 1 U e X B l P k Z v c m 1 1 b G E 8 L 0 l 0 Z W 1 U e X B l P j x J d G V t U G F 0 a D 5 T Z W N 0 a W 9 u M S 9 L R E w v V m 9 v c n d h Y X J k Z W x p a m t l J T I w a 2 9 s b 2 0 l M j B p b m d l d m 9 l Z 2 Q z M z w v S X R l b V B h d G g + P C 9 J d G V t T G 9 j Y X R p b 2 4 + P F N 0 Y W J s Z U V u d H J p Z X M g L z 4 8 L 0 l 0 Z W 0 + P E l 0 Z W 0 + P E l 0 Z W 1 M b 2 N h d G l v b j 4 8 S X R l b V R 5 c G U + R m 9 y b X V s Y T w v S X R l b V R 5 c G U + P E l 0 Z W 1 Q Y X R o P l N l Y 3 R p b 2 4 x L 0 t E T C 9 W b 2 9 y d 2 F h c m R l b G l q a 2 U l M j B r b 2 x v b S U y M G l u Z 2 V 2 b 2 V n Z D M 0 P C 9 J d G V t U G F 0 a D 4 8 L 0 l 0 Z W 1 M b 2 N h d G l v b j 4 8 U 3 R h Y m x l R W 5 0 c m l l c y A v P j w v S X R l b T 4 8 S X R l b T 4 8 S X R l b U x v Y 2 F 0 a W 9 u P j x J d G V t V H l w Z T 5 G b 3 J t d W x h P C 9 J d G V t V H l w Z T 4 8 S X R l b V B h d G g + U 2 V j d G l v b j E v S 0 R M L 1 Z v b 3 J 3 Y W F y Z G V s a W p r Z S U y M G t v b G 9 t J T I w a W 5 n Z X Z v Z W d k M z U 8 L 0 l 0 Z W 1 Q Y X R o P j w v S X R l b U x v Y 2 F 0 a W 9 u P j x T d G F i b G V F b n R y a W V z I C 8 + P C 9 J d G V t P j x J d G V t P j x J d G V t T G 9 j Y X R p b 2 4 + P E l 0 Z W 1 U e X B l P k Z v c m 1 1 b G E 8 L 0 l 0 Z W 1 U e X B l P j x J d G V t U G F 0 a D 5 T Z W N 0 a W 9 u M S 9 L R E w v V m 9 v c n d h Y X J k Z W x p a m t l J T I w a 2 9 s b 2 0 l M j B p b m d l d m 9 l Z 2 Q z N j w v S X R l b V B h d G g + P C 9 J d G V t T G 9 j Y X R p b 2 4 + P F N 0 Y W J s Z U V u d H J p Z X M g L z 4 8 L 0 l 0 Z W 0 + P E l 0 Z W 0 + P E l 0 Z W 1 M b 2 N h d G l v b j 4 8 S X R l b V R 5 c G U + R m 9 y b X V s Y T w v S X R l b V R 5 c G U + P E l 0 Z W 1 Q Y X R o P l N l Y 3 R p b 2 4 x L 0 t E T C 9 W b 2 9 y d 2 F h c m R l b G l q a 2 U l M j B r b 2 x v b S U y M G l u Z 2 V 2 b 2 V n Z D M 3 P C 9 J d G V t U G F 0 a D 4 8 L 0 l 0 Z W 1 M b 2 N h d G l v b j 4 8 U 3 R h Y m x l R W 5 0 c m l l c y A v P j w v S X R l b T 4 8 S X R l b T 4 8 S X R l b U x v Y 2 F 0 a W 9 u P j x J d G V t V H l w Z T 5 G b 3 J t d W x h P C 9 J d G V t V H l w Z T 4 8 S X R l b V B h d G g + U 2 V j d G l v b j E v S 0 R M L 1 Z v b 3 J 3 Y W F y Z G V s a W p r Z S U y M G t v b G 9 t J T I w a W 5 n Z X Z v Z W d k M z g 8 L 0 l 0 Z W 1 Q Y X R o P j w v S X R l b U x v Y 2 F 0 a W 9 u P j x T d G F i b G V F b n R y a W V z I C 8 + P C 9 J d G V t P j x J d G V t P j x J d G V t T G 9 j Y X R p b 2 4 + P E l 0 Z W 1 U e X B l P k Z v c m 1 1 b G E 8 L 0 l 0 Z W 1 U e X B l P j x J d G V t U G F 0 a D 5 T Z W N 0 a W 9 u M S 9 L R E w v V m 9 v c n d h Y X J k Z W x p a m t l J T I w a 2 9 s b 2 0 l M j B p b m d l d m 9 l Z 2 Q z O T w v S X R l b V B h d G g + P C 9 J d G V t T G 9 j Y X R p b 2 4 + P F N 0 Y W J s Z U V u d H J p Z X M g L z 4 8 L 0 l 0 Z W 0 + P E l 0 Z W 0 + P E l 0 Z W 1 M b 2 N h d G l v b j 4 8 S X R l b V R 5 c G U + R m 9 y b X V s Y T w v S X R l b V R 5 c G U + P E l 0 Z W 1 Q Y X R o P l N l Y 3 R p b 2 4 x L 0 t E T C 9 W b 2 9 y d 2 F h c m R l b G l q a 2 U l M j B r b 2 x v b S U y M G l u Z 2 V 2 b 2 V n Z D Q w P C 9 J d G V t U G F 0 a D 4 8 L 0 l 0 Z W 1 M b 2 N h d G l v b j 4 8 U 3 R h Y m x l R W 5 0 c m l l c y A v P j w v S X R l b T 4 8 S X R l b T 4 8 S X R l b U x v Y 2 F 0 a W 9 u P j x J d G V t V H l w Z T 5 G b 3 J t d W x h P C 9 J d G V t V H l w Z T 4 8 S X R l b V B h d G g + U 2 V j d G l v b j E v S 0 R M L 1 Z v b 3 J 3 Y W F y Z G V s a W p r Z S U y M G t v b G 9 t J T I w a W 5 n Z X Z v Z W d k N D E 8 L 0 l 0 Z W 1 Q Y X R o P j w v S X R l b U x v Y 2 F 0 a W 9 u P j x T d G F i b G V F b n R y a W V z I C 8 + P C 9 J d G V t P j x J d G V t P j x J d G V t T G 9 j Y X R p b 2 4 + P E l 0 Z W 1 U e X B l P k Z v c m 1 1 b G E 8 L 0 l 0 Z W 1 U e X B l P j x J d G V t U G F 0 a D 5 T Z W N 0 a W 9 u M S 9 L R E w v V m 9 v c n d h Y X J k Z W x p a m t l J T I w a 2 9 s b 2 0 l M j B p b m d l d m 9 l Z 2 Q 0 M j w v S X R l b V B h d G g + P C 9 J d G V t T G 9 j Y X R p b 2 4 + P F N 0 Y W J s Z U V u d H J p Z X M g L z 4 8 L 0 l 0 Z W 0 + P E l 0 Z W 0 + P E l 0 Z W 1 M b 2 N h d G l v b j 4 8 S X R l b V R 5 c G U + R m 9 y b X V s Y T w v S X R l b V R 5 c G U + P E l 0 Z W 1 Q Y X R o P l N l Y 3 R p b 2 4 x L 0 t E T C 9 W b 2 9 y d 2 F h c m R l b G l q a 2 U l M j B r b 2 x v b S U y M G l u Z 2 V 2 b 2 V n Z D Q z P C 9 J d G V t U G F 0 a D 4 8 L 0 l 0 Z W 1 M b 2 N h d G l v b j 4 8 U 3 R h Y m x l R W 5 0 c m l l c y A v P j w v S X R l b T 4 8 S X R l b T 4 8 S X R l b U x v Y 2 F 0 a W 9 u P j x J d G V t V H l w Z T 5 G b 3 J t d W x h P C 9 J d G V t V H l w Z T 4 8 S X R l b V B h d G g + U 2 V j d G l v b j E v S 0 R M L 1 Z v b 3 J 3 Y W F y Z G V s a W p r Z S U y M G t v b G 9 t J T I w a W 5 n Z X Z v Z W d k N D Q 8 L 0 l 0 Z W 1 Q Y X R o P j w v S X R l b U x v Y 2 F 0 a W 9 u P j x T d G F i b G V F b n R y a W V z I C 8 + P C 9 J d G V t P j x J d G V t P j x J d G V t T G 9 j Y X R p b 2 4 + P E l 0 Z W 1 U e X B l P k Z v c m 1 1 b G E 8 L 0 l 0 Z W 1 U e X B l P j x J d G V t U G F 0 a D 5 T Z W N 0 a W 9 u M S 9 L R E w v V m 9 v c n d h Y X J k Z W x p a m t l J T I w a 2 9 s b 2 0 l M j B p b m d l d m 9 l Z 2 Q 0 N T w v S X R l b V B h d G g + P C 9 J d G V t T G 9 j Y X R p b 2 4 + P F N 0 Y W J s Z U V u d H J p Z X M g L z 4 8 L 0 l 0 Z W 0 + P E l 0 Z W 0 + P E l 0 Z W 1 M b 2 N h d G l v b j 4 8 S X R l b V R 5 c G U + R m 9 y b X V s Y T w v S X R l b V R 5 c G U + P E l 0 Z W 1 Q Y X R o P l N l Y 3 R p b 2 4 x L 0 t E T C 9 W b 2 9 y d 2 F h c m R l b G l q a 2 U l M j B r b 2 x v b S U y M G l u Z 2 V 2 b 2 V n Z D Q 2 P C 9 J d G V t U G F 0 a D 4 8 L 0 l 0 Z W 1 M b 2 N h d G l v b j 4 8 U 3 R h Y m x l R W 5 0 c m l l c y A v P j w v S X R l b T 4 8 S X R l b T 4 8 S X R l b U x v Y 2 F 0 a W 9 u P j x J d G V t V H l w Z T 5 G b 3 J t d W x h P C 9 J d G V t V H l w Z T 4 8 S X R l b V B h d G g + U 2 V j d G l v b j E v S 0 R M L 1 Z v b 3 J 3 Y W F y Z G V s a W p r Z S U y M G t v b G 9 t J T I w a W 5 n Z X Z v Z W d k N D c 8 L 0 l 0 Z W 1 Q Y X R o P j w v S X R l b U x v Y 2 F 0 a W 9 u P j x T d G F i b G V F b n R y a W V z I C 8 + P C 9 J d G V t P j x J d G V t P j x J d G V t T G 9 j Y X R p b 2 4 + P E l 0 Z W 1 U e X B l P k Z v c m 1 1 b G E 8 L 0 l 0 Z W 1 U e X B l P j x J d G V t U G F 0 a D 5 T Z W N 0 a W 9 u M S 9 L R E w v V m 9 v c n d h Y X J k Z W x p a m t l J T I w a 2 9 s b 2 0 l M j B p b m d l d m 9 l Z 2 Q 0 O D w v S X R l b V B h d G g + P C 9 J d G V t T G 9 j Y X R p b 2 4 + P F N 0 Y W J s Z U V u d H J p Z X M g L z 4 8 L 0 l 0 Z W 0 + P E l 0 Z W 0 + P E l 0 Z W 1 M b 2 N h d G l v b j 4 8 S X R l b V R 5 c G U + R m 9 y b X V s Y T w v S X R l b V R 5 c G U + P E l 0 Z W 1 Q Y X R o P l N l Y 3 R p b 2 4 x L 0 t E T C 9 W b 2 9 y d 2 F h c m R l b G l q a 2 U l M j B r b 2 x v b S U y M G l u Z 2 V 2 b 2 V n Z D Q 5 P C 9 J d G V t U G F 0 a D 4 8 L 0 l 0 Z W 1 M b 2 N h d G l v b j 4 8 U 3 R h Y m x l R W 5 0 c m l l c y A v P j w v S X R l b T 4 8 S X R l b T 4 8 S X R l b U x v Y 2 F 0 a W 9 u P j x J d G V t V H l w Z T 5 G b 3 J t d W x h P C 9 J d G V t V H l w Z T 4 8 S X R l b V B h d G g + U 2 V j d G l v b j E v S 0 R M L 1 Z v b 3 J 3 Y W F y Z G V s a W p r Z S U y M G t v b G 9 t J T I w a W 5 n Z X Z v Z W d k N T A 8 L 0 l 0 Z W 1 Q Y X R o P j w v S X R l b U x v Y 2 F 0 a W 9 u P j x T d G F i b G V F b n R y a W V z I C 8 + P C 9 J d G V t P j x J d G V t P j x J d G V t T G 9 j Y X R p b 2 4 + P E l 0 Z W 1 U e X B l P k Z v c m 1 1 b G E 8 L 0 l 0 Z W 1 U e X B l P j x J d G V t U G F 0 a D 5 T Z W N 0 a W 9 u M S 9 L R E w v V m 9 v c n d h Y X J k Z W x p a m t l J T I w a 2 9 s b 2 0 l M j B p b m d l d m 9 l Z 2 Q 1 M T w v S X R l b V B h d G g + P C 9 J d G V t T G 9 j Y X R p b 2 4 + P F N 0 Y W J s Z U V u d H J p Z X M g L z 4 8 L 0 l 0 Z W 0 + P E l 0 Z W 0 + P E l 0 Z W 1 M b 2 N h d G l v b j 4 8 S X R l b V R 5 c G U + R m 9 y b X V s Y T w v S X R l b V R 5 c G U + P E l 0 Z W 1 Q Y X R o P l N l Y 3 R p b 2 4 x L 0 t E T C 9 W b 2 9 y d 2 F h c m R l b G l q a 2 U l M j B r b 2 x v b S U y M G l u Z 2 V 2 b 2 V n Z D U y P C 9 J d G V t U G F 0 a D 4 8 L 0 l 0 Z W 1 M b 2 N h d G l v b j 4 8 U 3 R h Y m x l R W 5 0 c m l l c y A v P j w v S X R l b T 4 8 S X R l b T 4 8 S X R l b U x v Y 2 F 0 a W 9 u P j x J d G V t V H l w Z T 5 G b 3 J t d W x h P C 9 J d G V t V H l w Z T 4 8 S X R l b V B h d G g + U 2 V j d G l v b j E v S 0 R M L 1 Z v b 3 J 3 Y W F y Z G V s a W p r Z S U y M G t v b G 9 t J T I w a W 5 n Z X Z v Z W d k N T M 8 L 0 l 0 Z W 1 Q Y X R o P j w v S X R l b U x v Y 2 F 0 a W 9 u P j x T d G F i b G V F b n R y a W V z I C 8 + P C 9 J d G V t P j x J d G V t P j x J d G V t T G 9 j Y X R p b 2 4 + P E l 0 Z W 1 U e X B l P k Z v c m 1 1 b G E 8 L 0 l 0 Z W 1 U e X B l P j x J d G V t U G F 0 a D 5 T Z W N 0 a W 9 u M S 9 L R E w v V m 9 v c n d h Y X J k Z W x p a m t l J T I w a 2 9 s b 2 0 l M j B p b m d l d m 9 l Z 2 Q 1 N D w v S X R l b V B h d G g + P C 9 J d G V t T G 9 j Y X R p b 2 4 + P F N 0 Y W J s Z U V u d H J p Z X M g L z 4 8 L 0 l 0 Z W 0 + P E l 0 Z W 0 + P E l 0 Z W 1 M b 2 N h d G l v b j 4 8 S X R l b V R 5 c G U + R m 9 y b X V s Y T w v S X R l b V R 5 c G U + P E l 0 Z W 1 Q Y X R o P l N l Y 3 R p b 2 4 x L 0 t E T C 9 W b 2 9 y d 2 F h c m R l b G l q a 2 U l M j B r b 2 x v b S U y M G l u Z 2 V 2 b 2 V n Z D U 1 P C 9 J d G V t U G F 0 a D 4 8 L 0 l 0 Z W 1 M b 2 N h d G l v b j 4 8 U 3 R h Y m x l R W 5 0 c m l l c y A v P j w v S X R l b T 4 8 S X R l b T 4 8 S X R l b U x v Y 2 F 0 a W 9 u P j x J d G V t V H l w Z T 5 G b 3 J t d W x h P C 9 J d G V t V H l w Z T 4 8 S X R l b V B h d G g + U 2 V j d G l v b j E v S 0 R M L 1 Z v b 3 J 3 Y W F y Z G V s a W p r Z S U y M G t v b G 9 t J T I w a W 5 n Z X Z v Z W d k N T Y 8 L 0 l 0 Z W 1 Q Y X R o P j w v S X R l b U x v Y 2 F 0 a W 9 u P j x T d G F i b G V F b n R y a W V z I C 8 + P C 9 J d G V t P j x J d G V t P j x J d G V t T G 9 j Y X R p b 2 4 + P E l 0 Z W 1 U e X B l P k Z v c m 1 1 b G E 8 L 0 l 0 Z W 1 U e X B l P j x J d G V t U G F 0 a D 5 T Z W N 0 a W 9 u M S 9 L R E w v V m 9 v c n d h Y X J k Z W x p a m t l J T I w a 2 9 s b 2 0 l M j B p b m d l d m 9 l Z 2 Q 1 N z w v S X R l b V B h d G g + P C 9 J d G V t T G 9 j Y X R p b 2 4 + P F N 0 Y W J s Z U V u d H J p Z X M g L z 4 8 L 0 l 0 Z W 0 + P E l 0 Z W 0 + P E l 0 Z W 1 M b 2 N h d G l v b j 4 8 S X R l b V R 5 c G U + R m 9 y b X V s Y T w v S X R l b V R 5 c G U + P E l 0 Z W 1 Q Y X R o P l N l Y 3 R p b 2 4 x L 0 t E T C 9 W b 2 9 y d 2 F h c m R l b G l q a 2 U l M j B r b 2 x v b S U y M G l u Z 2 V 2 b 2 V n Z D U 4 P C 9 J d G V t U G F 0 a D 4 8 L 0 l 0 Z W 1 M b 2 N h d G l v b j 4 8 U 3 R h Y m x l R W 5 0 c m l l c y A v P j w v S X R l b T 4 8 S X R l b T 4 8 S X R l b U x v Y 2 F 0 a W 9 u P j x J d G V t V H l w Z T 5 G b 3 J t d W x h P C 9 J d G V t V H l w Z T 4 8 S X R l b V B h d G g + U 2 V j d G l v b j E v S 0 R M L 1 Z v b 3 J 3 Y W F y Z G V s a W p r Z S U y M G t v b G 9 t J T I w a W 5 n Z X Z v Z W d k N T k 8 L 0 l 0 Z W 1 Q Y X R o P j w v S X R l b U x v Y 2 F 0 a W 9 u P j x T d G F i b G V F b n R y a W V z I C 8 + P C 9 J d G V t P j x J d G V t P j x J d G V t T G 9 j Y X R p b 2 4 + P E l 0 Z W 1 U e X B l P k Z v c m 1 1 b G E 8 L 0 l 0 Z W 1 U e X B l P j x J d G V t U G F 0 a D 5 T Z W N 0 a W 9 u M S 9 L R E w v Q W F u Z 2 V w Y X N 0 J T I w a X R l b S U y M H R v Z W d l d m 9 l Z 2 Q l M j A x P C 9 J d G V t U G F 0 a D 4 8 L 0 l 0 Z W 1 M b 2 N h d G l v b j 4 8 U 3 R h Y m x l R W 5 0 c m l l c y A v P j w v S X R l b T 4 8 S X R l b T 4 8 S X R l b U x v Y 2 F 0 a W 9 u P j x J d G V t V H l w Z T 5 G b 3 J t d W x h P C 9 J d G V t V H l w Z T 4 8 S X R l b V B h d G g + U 2 V j d G l v b j E v S 0 R M L 0 F h b m d l c G F z d C U y M G l 0 Z W 0 l M j B 0 b 2 V n Z X Z v Z W d k J T I w M j w v S X R l b V B h d G g + P C 9 J d G V t T G 9 j Y X R p b 2 4 + P F N 0 Y W J s Z U V u d H J p Z X M g L z 4 8 L 0 l 0 Z W 0 + P E l 0 Z W 0 + P E l 0 Z W 1 M b 2 N h d G l v b j 4 8 S X R l b V R 5 c G U + R m 9 y b X V s Y T w v S X R l b V R 5 c G U + P E l 0 Z W 1 Q Y X R o P l N l Y 3 R p b 2 4 x L 0 t E T C 9 B Y W 5 n Z X B h c 3 Q l M j B p d G V t J T I w d G 9 l Z 2 V 2 b 2 V n Z C U y M D M 8 L 0 l 0 Z W 1 Q Y X R o P j w v S X R l b U x v Y 2 F 0 a W 9 u P j x T d G F i b G V F b n R y a W V z I C 8 + P C 9 J d G V t P j x J d G V t P j x J d G V t T G 9 j Y X R p b 2 4 + P E l 0 Z W 1 U e X B l P k Z v c m 1 1 b G E 8 L 0 l 0 Z W 1 U e X B l P j x J d G V t U G F 0 a D 5 T Z W N 0 a W 9 u M S 9 L R E w v Q W F u Z 2 V w Y X N 0 J T I w a X R l b S U y M H R v Z W d l d m 9 l Z 2 Q l M j A 0 P C 9 J d G V t U G F 0 a D 4 8 L 0 l 0 Z W 1 M b 2 N h d G l v b j 4 8 U 3 R h Y m x l R W 5 0 c m l l c y A v P j w v S X R l b T 4 8 S X R l b T 4 8 S X R l b U x v Y 2 F 0 a W 9 u P j x J d G V t V H l w Z T 5 G b 3 J t d W x h P C 9 J d G V t V H l w Z T 4 8 S X R l b V B h d G g + U 2 V j d G l v b j E v S 0 R M L 0 t v b G 9 t b W V u J T I w d m V y d 2 l q Z G V y Z C U y M D I 8 L 0 l 0 Z W 1 Q Y X R o P j w v S X R l b U x v Y 2 F 0 a W 9 u P j x T d G F i b G V F b n R y a W V z I C 8 + P C 9 J d G V t P j x J d G V t P j x J d G V t T G 9 j Y X R p b 2 4 + P E l 0 Z W 1 U e X B l P k Z v c m 1 1 b G E 8 L 0 l 0 Z W 1 U e X B l P j x J d G V t U G F 0 a D 5 T Z W N 0 a W 9 u M S 9 L R E w v T m F t Z W 4 l M j B 2 Y W 4 l M j B r b 2 x v b W 1 l b i U y M G d l d 2 l q e m l n Z C U y M D g 8 L 0 l 0 Z W 1 Q Y X R o P j w v S X R l b U x v Y 2 F 0 a W 9 u P j x T d G F i b G V F b n R y a W V z I C 8 + P C 9 J d G V t P j x J d G V t P j x J d G V t T G 9 j Y X R p b 2 4 + P E l 0 Z W 1 U e X B l P k Z v c m 1 1 b G E 8 L 0 l 0 Z W 1 U e X B l P j x J d G V t U G F 0 a D 5 T Z W N 0 a W 9 u M S 9 L R E w v V 2 F h c m R l J T I w a X M l M j B 2 Z X J 2 Y W 5 n Z W 4 8 L 0 l 0 Z W 1 Q Y X R o P j w v S X R l b U x v Y 2 F 0 a W 9 u P j x T d G F i b G V F b n R y a W V z I C 8 + P C 9 J d G V t P j x J d G V t P j x J d G V t T G 9 j Y X R p b 2 4 + P E l 0 Z W 1 U e X B l P k Z v c m 1 1 b G E 8 L 0 l 0 Z W 1 U e X B l P j x J d G V t U G F 0 a D 5 T Z W N 0 a W 9 u M S 9 L R E w v V 2 F h c m R l J T I w a X M l M j B 2 Z X J 2 Y W 5 n Z W 4 l M j A 5 P C 9 J d G V t U G F 0 a D 4 8 L 0 l 0 Z W 1 M b 2 N h d G l v b j 4 8 U 3 R h Y m x l R W 5 0 c m l l c y A v P j w v S X R l b T 4 8 S X R l b T 4 8 S X R l b U x v Y 2 F 0 a W 9 u P j x J d G V t V H l w Z T 5 G b 3 J t d W x h P C 9 J d G V t V H l w Z T 4 8 S X R l b V B h d G g + U 2 V j d G l v b j E v S 0 R M L 0 t v b G 9 t J T I w c 3 B s a X R z Z W 4 l M j B v c C U y M H N j a G V p Z G l u Z 3 N 0 Z W t l b j w v S X R l b V B h d G g + P C 9 J d G V t T G 9 j Y X R p b 2 4 + P F N 0 Y W J s Z U V u d H J p Z X M g L z 4 8 L 0 l 0 Z W 0 + P E l 0 Z W 0 + P E l 0 Z W 1 M b 2 N h d G l v b j 4 8 S X R l b V R 5 c G U + R m 9 y b X V s Y T w v S X R l b V R 5 c G U + P E l 0 Z W 1 Q Y X R o P l N l Y 3 R p b 2 4 x L 0 t E T C 9 X Y W F y Z G U l M j B p c y U y M H Z l c n Z h b m d l b i U y M D E 8 L 0 l 0 Z W 1 Q Y X R o P j w v S X R l b U x v Y 2 F 0 a W 9 u P j x T d G F i b G V F b n R y a W V z I C 8 + P C 9 J d G V t P j x J d G V t P j x J d G V t T G 9 j Y X R p b 2 4 + P E l 0 Z W 1 U e X B l P k Z v c m 1 1 b G E 8 L 0 l 0 Z W 1 U e X B l P j x J d G V t U G F 0 a D 5 T Z W N 0 a W 9 u M S 9 L R E w v V 2 F h c m R l J T I w a X M l M j B 2 Z X J 2 Y W 5 n Z W 4 l M j A y P C 9 J d G V t U G F 0 a D 4 8 L 0 l 0 Z W 1 M b 2 N h d G l v b j 4 8 U 3 R h Y m x l R W 5 0 c m l l c y A v P j w v S X R l b T 4 8 S X R l b T 4 8 S X R l b U x v Y 2 F 0 a W 9 u P j x J d G V t V H l w Z T 5 G b 3 J t d W x h P C 9 J d G V t V H l w Z T 4 8 S X R l b V B h d G g + U 2 V j d G l v b j E v S 0 R M L 0 5 h b W V u J T I w d m F u J T I w a 2 9 s b 2 1 t Z W 4 l M j B n Z X d p a n p p Z 2 Q 8 L 0 l 0 Z W 1 Q Y X R o P j w v S X R l b U x v Y 2 F 0 a W 9 u P j x T d G F i b G V F b n R y a W V z I C 8 + P C 9 J d G V t P j x J d G V t P j x J d G V t T G 9 j Y X R p b 2 4 + P E l 0 Z W 1 U e X B l P k Z v c m 1 1 b G E 8 L 0 l 0 Z W 1 U e X B l P j x J d G V t U G F 0 a D 5 T Z W N 0 a W 9 u M S 9 L R E w v T m F t Z W 4 l M j B 2 Y W 4 l M j B r b 2 x v b W 1 l b i U y M G d l d 2 l q e m l n Z C U y M D M 8 L 0 l 0 Z W 1 Q Y X R o P j w v S X R l b U x v Y 2 F 0 a W 9 u P j x T d G F i b G V F b n R y a W V z I C 8 + P C 9 J d G V t P j x J d G V t P j x J d G V t T G 9 j Y X R p b 2 4 + P E l 0 Z W 1 U e X B l P k Z v c m 1 1 b G E 8 L 0 l 0 Z W 1 U e X B l P j x J d G V t U G F 0 a D 5 T Z W N 0 a W 9 u M S 9 L R E w v V 2 F h c m R l J T I w a X M l M j B 2 Z X J 2 Y W 5 n Z W 4 l M j A z P C 9 J d G V t U G F 0 a D 4 8 L 0 l 0 Z W 1 M b 2 N h d G l v b j 4 8 U 3 R h Y m x l R W 5 0 c m l l c y A v P j w v S X R l b T 4 8 S X R l b T 4 8 S X R l b U x v Y 2 F 0 a W 9 u P j x J d G V t V H l w Z T 5 G b 3 J t d W x h P C 9 J d G V t V H l w Z T 4 8 S X R l b V B h d G g + U 2 V j d G l v b j E v S 0 R M L 1 d h Y X J k Z S U y M G l z J T I w d m V y d m F u Z 2 V u J T I w N D w v S X R l b V B h d G g + P C 9 J d G V t T G 9 j Y X R p b 2 4 + P F N 0 Y W J s Z U V u d H J p Z X M g L z 4 8 L 0 l 0 Z W 0 + P E l 0 Z W 0 + P E l 0 Z W 1 M b 2 N h d G l v b j 4 8 S X R l b V R 5 c G U + R m 9 y b X V s Y T w v S X R l b V R 5 c G U + P E l 0 Z W 1 Q Y X R o P l N l Y 3 R p b 2 4 x L 0 t E T C 9 O Y W 1 l b i U y M H Z h b i U y M G t v b G 9 t b W V u J T I w Z 2 V 3 a W p 6 a W d k J T I w N D w v S X R l b V B h d G g + P C 9 J d G V t T G 9 j Y X R p b 2 4 + P F N 0 Y W J s Z U V u d H J p Z X M g L z 4 8 L 0 l 0 Z W 0 + P E l 0 Z W 0 + P E l 0 Z W 1 M b 2 N h d G l v b j 4 8 S X R l b V R 5 c G U + R m 9 y b X V s Y T w v S X R l b V R 5 c G U + P E l 0 Z W 1 Q Y X R o P l N l Y 3 R p b 2 4 x L 0 t E T C 9 O Y W 1 l b i U y M H Z h b i U y M G t v b G 9 t b W V u J T I w Z 2 V 3 a W p 6 a W d k J T I w N T w v S X R l b V B h d G g + P C 9 J d G V t T G 9 j Y X R p b 2 4 + P F N 0 Y W J s Z U V u d H J p Z X M g L z 4 8 L 0 l 0 Z W 0 + P E l 0 Z W 0 + P E l 0 Z W 1 M b 2 N h d G l v b j 4 8 S X R l b V R 5 c G U + R m 9 y b X V s Y T w v S X R l b V R 5 c G U + P E l 0 Z W 1 Q Y X R o P l N l Y 3 R p b 2 4 x L 0 t E T C 9 L b 2 x v b W 1 l b i U y M H N h b W V u Z 2 V 2 b 2 V n Z D w v S X R l b V B h d G g + P C 9 J d G V t T G 9 j Y X R p b 2 4 + P F N 0 Y W J s Z U V u d H J p Z X M g L z 4 8 L 0 l 0 Z W 0 + P E l 0 Z W 0 + P E l 0 Z W 1 M b 2 N h d G l v b j 4 8 S X R l b V R 5 c G U + R m 9 y b X V s Y T w v S X R l b V R 5 c G U + P E l 0 Z W 1 Q Y X R o P l N l Y 3 R p b 2 4 x L 0 t E T C 9 L b 2 x v b W 1 l b i U y M H N h b W V u Z 2 V 2 b 2 V n Z C U y M D E 8 L 0 l 0 Z W 1 Q Y X R o P j w v S X R l b U x v Y 2 F 0 a W 9 u P j x T d G F i b G V F b n R y a W V z I C 8 + P C 9 J d G V t P j x J d G V t P j x J d G V t T G 9 j Y X R p b 2 4 + P E l 0 Z W 1 U e X B l P k Z v c m 1 1 b G E 8 L 0 l 0 Z W 1 U e X B l P j x J d G V t U G F 0 a D 5 T Z W N 0 a W 9 u M S 9 L R E w v S 2 9 s b 2 1 t Z W 4 l M j B z Y W 1 l b m d l d m 9 l Z 2 Q l M j A y P C 9 J d G V t U G F 0 a D 4 8 L 0 l 0 Z W 1 M b 2 N h d G l v b j 4 8 U 3 R h Y m x l R W 5 0 c m l l c y A v P j w v S X R l b T 4 8 S X R l b T 4 8 S X R l b U x v Y 2 F 0 a W 9 u P j x J d G V t V H l w Z T 5 G b 3 J t d W x h P C 9 J d G V t V H l w Z T 4 8 S X R l b V B h d G g + U 2 V j d G l v b j E v S 0 R M L 0 5 h b W V u J T I w d m F u J T I w a 2 9 s b 2 1 t Z W 4 l M j B n Z X d p a n p p Z 2 Q l M j A 2 P C 9 J d G V t U G F 0 a D 4 8 L 0 l 0 Z W 1 M b 2 N h d G l v b j 4 8 U 3 R h Y m x l R W 5 0 c m l l c y A v P j w v S X R l b T 4 8 S X R l b T 4 8 S X R l b U x v Y 2 F 0 a W 9 u P j x J d G V t V H l w Z T 5 G b 3 J t d W x h P C 9 J d G V t V H l w Z T 4 8 S X R l b V B h d G g + U 2 V j d G l v b j E v S 0 R M L 0 5 h b W V u J T I w d m F u J T I w a 2 9 s b 2 1 t Z W 4 l M j B n Z X d p a n p p Z 2 Q l M j A 3 P C 9 J d G V t U G F 0 a D 4 8 L 0 l 0 Z W 1 M b 2 N h d G l v b j 4 8 U 3 R h Y m x l R W 5 0 c m l l c y A v P j w v S X R l b T 4 8 S X R l b T 4 8 S X R l b U x v Y 2 F 0 a W 9 u P j x J d G V t V H l w Z T 5 G b 3 J t d W x h P C 9 J d G V t V H l w Z T 4 8 S X R l b V B h d G g + U 2 V j d G l v b j E v S 0 R M L 1 d h Y X J k Z S U y M G l z J T I w d m V y d m F u Z 2 V u J T I w N z w v S X R l b V B h d G g + P C 9 J d G V t T G 9 j Y X R p b 2 4 + P F N 0 Y W J s Z U V u d H J p Z X M g L z 4 8 L 0 l 0 Z W 0 + P E l 0 Z W 0 + P E l 0 Z W 1 M b 2 N h d G l v b j 4 8 S X R l b V R 5 c G U + R m 9 y b X V s Y T w v S X R l b V R 5 c G U + P E l 0 Z W 1 Q Y X R o P l N l Y 3 R p b 2 4 x L 0 t E T C 9 X Y W F y Z G U l M j B p c y U y M H Z l c n Z h b m d l b i U y M D g 8 L 0 l 0 Z W 1 Q Y X R o P j w v S X R l b U x v Y 2 F 0 a W 9 u P j x T d G F i b G V F b n R y a W V z I C 8 + P C 9 J d G V t P j x J d G V t P j x J d G V t T G 9 j Y X R p b 2 4 + P E l 0 Z W 1 U e X B l P k Z v c m 1 1 b G E 8 L 0 l 0 Z W 1 U e X B l P j x J d G V t U G F 0 a D 5 T Z W N 0 a W 9 u M S 9 L R E w v V m 9 s Z 2 9 y Z G U l M j B 2 Y W 4 l M j B r b 2 x v b W 1 l b i U y M G d l d 2 l q e m l n Z D w v S X R l b V B h d G g + P C 9 J d G V t T G 9 j Y X R p b 2 4 + P F N 0 Y W J s Z U V u d H J p Z X M g L z 4 8 L 0 l 0 Z W 0 + P E l 0 Z W 0 + P E l 0 Z W 1 M b 2 N h d G l v b j 4 8 S X R l b V R 5 c G U + R m 9 y b X V s Y T w v S X R l b V R 5 c G U + P E l 0 Z W 1 Q Y X R o P l N l Y 3 R p b 2 4 x L 0 t E T C 9 O Y W 1 l b i U y M H Z h b i U y M G t v b G 9 t b W V u J T I w Z 2 V 3 a W p 6 a W d k J T I w O T w v S X R l b V B h d G g + P C 9 J d G V t T G 9 j Y X R p b 2 4 + P F N 0 Y W J s Z U V u d H J p Z X M g L z 4 8 L 0 l 0 Z W 0 + P E l 0 Z W 0 + P E l 0 Z W 1 M b 2 N h d G l v b j 4 8 S X R l b V R 5 c G U + R m 9 y b X V s Y T w v S X R l b V R 5 c G U + P E l 0 Z W 1 Q Y X R o P l N l Y 3 R p b 2 4 x L 0 t E T C 9 I Z X Q l M j B r b 2 x v b X R 5 c G U l M j B p c y U y M G d l d 2 l q e m l n Z C U y M D E 8 L 0 l 0 Z W 1 Q Y X R o P j w v S X R l b U x v Y 2 F 0 a W 9 u P j x T d G F i b G V F b n R y a W V z I C 8 + P C 9 J d G V t P j x J d G V t P j x J d G V t T G 9 j Y X R p b 2 4 + P E l 0 Z W 1 U e X B l P k Z v c m 1 1 b G E 8 L 0 l 0 Z W 1 U e X B l P j x J d G V t U G F 0 a D 5 T Z W N 0 a W 9 u M S 9 L R E w v R 2 V z b 3 J 0 Z W V y Z G U l M j B y a W p l b j w v S X R l b V B h d G g + P C 9 J d G V t T G 9 j Y X R p b 2 4 + P F N 0 Y W J s Z U V u d H J p Z X M g L z 4 8 L 0 l 0 Z W 0 + P E l 0 Z W 0 + P E l 0 Z W 1 M b 2 N h d G l v b j 4 8 S X R l b V R 5 c G U + R m 9 y b X V s Y T w v S X R l b V R 5 c G U + P E l 0 Z W 1 Q Y X R o P l N l Y 3 R p b 2 4 x L 0 d L V k k v V m 9 v c n d h Y X J k Z W x p a m t l J T I w a 2 9 s b 2 0 l M j B p b m d l d m 9 l Z 2 Q y M D w v S X R l b V B h d G g + P C 9 J d G V t T G 9 j Y X R p b 2 4 + P F N 0 Y W J s Z U V u d H J p Z X M g L z 4 8 L 0 l 0 Z W 0 + P E l 0 Z W 0 + P E l 0 Z W 1 M b 2 N h d G l v b j 4 8 S X R l b V R 5 c G U + R m 9 y b X V s Y T w v S X R l b V R 5 c G U + P E l 0 Z W 1 Q Y X R o P l N l Y 3 R p b 2 4 x L 0 d L V k k v V m 9 v c n d h Y X J k Z W x p a m t l J T I w a 2 9 s b 2 0 l M j B p b m d l d m 9 l Z 2 Q y M T w v S X R l b V B h d G g + P C 9 J d G V t T G 9 j Y X R p b 2 4 + P F N 0 Y W J s Z U V u d H J p Z X M g L z 4 8 L 0 l 0 Z W 0 + P E l 0 Z W 0 + P E l 0 Z W 1 M b 2 N h d G l v b j 4 8 S X R l b V R 5 c G U + R m 9 y b X V s Y T w v S X R l b V R 5 c G U + P E l 0 Z W 1 Q Y X R o P l N l Y 3 R p b 2 4 x L 0 d L V k k v V m 9 v c n d h Y X J k Z W x p a m t l J T I w a 2 9 s b 2 0 l M j B p b m d l d m 9 l Z 2 Q y M j w v S X R l b V B h d G g + P C 9 J d G V t T G 9 j Y X R p b 2 4 + P F N 0 Y W J s Z U V u d H J p Z X M g L z 4 8 L 0 l 0 Z W 0 + P E l 0 Z W 0 + P E l 0 Z W 1 M b 2 N h d G l v b j 4 8 S X R l b V R 5 c G U + R m 9 y b X V s Y T w v S X R l b V R 5 c G U + P E l 0 Z W 1 Q Y X R o P l N l Y 3 R p b 2 4 x L 0 d L V k k v Q W F u Z 2 V w Y X N 0 J T I w a X R l b S U y M H R v Z W d l d m 9 l Z 2 Q y M z w v S X R l b V B h d G g + P C 9 J d G V t T G 9 j Y X R p b 2 4 + P F N 0 Y W J s Z U V u d H J p Z X M g L z 4 8 L 0 l 0 Z W 0 + P E l 0 Z W 0 + P E l 0 Z W 1 M b 2 N h d G l v b j 4 8 S X R l b V R 5 c G U + R m 9 y b X V s Y T w v S X R l b V R 5 c G U + P E l 0 Z W 1 Q Y X R o P l N l Y 3 R p b 2 4 x L 0 d L V k k v V m 9 v c n d h Y X J k Z W x p a m t l J T I w a 2 9 s b 2 0 l M j B p b m d l d m 9 l Z 2 Q y M z w v S X R l b V B h d G g + P C 9 J d G V t T G 9 j Y X R p b 2 4 + P F N 0 Y W J s Z U V u d H J p Z X M g L z 4 8 L 0 l 0 Z W 0 + P E l 0 Z W 0 + P E l 0 Z W 1 M b 2 N h d G l v b j 4 8 S X R l b V R 5 c G U + R m 9 y b X V s Y T w v S X R l b V R 5 c G U + P E l 0 Z W 1 Q Y X R o P l N l Y 3 R p b 2 4 x L 0 d L V k k v Q W F u Z 2 V w Y X N 0 J T I w a X R l b S U y M H R v Z W d l d m 9 l Z 2 Q y N D w v S X R l b V B h d G g + P C 9 J d G V t T G 9 j Y X R p b 2 4 + P F N 0 Y W J s Z U V u d H J p Z X M g L z 4 8 L 0 l 0 Z W 0 + P E l 0 Z W 0 + P E l 0 Z W 1 M b 2 N h d G l v b j 4 8 S X R l b V R 5 c G U + R m 9 y b X V s Y T w v S X R l b V R 5 c G U + P E l 0 Z W 1 Q Y X R o P l N l Y 3 R p b 2 4 x L 0 d L V k k v Q W F u Z 2 V w Y X N 0 J T I w a X R l b S U y M H R v Z W d l d m 9 l Z 2 Q y N T w v S X R l b V B h d G g + P C 9 J d G V t T G 9 j Y X R p b 2 4 + P F N 0 Y W J s Z U V u d H J p Z X M g L z 4 8 L 0 l 0 Z W 0 + P E l 0 Z W 0 + P E l 0 Z W 1 M b 2 N h d G l v b j 4 8 S X R l b V R 5 c G U + R m 9 y b X V s Y T w v S X R l b V R 5 c G U + P E l 0 Z W 1 Q Y X R o P l N l Y 3 R p b 2 4 x L 0 d L V k k v Q W F u Z 2 V w Y X N 0 J T I w a X R l b S U y M H R v Z W d l d m 9 l Z 2 Q y N j w v S X R l b V B h d G g + P C 9 J d G V t T G 9 j Y X R p b 2 4 + P F N 0 Y W J s Z U V u d H J p Z X M g L z 4 8 L 0 l 0 Z W 0 + P E l 0 Z W 0 + P E l 0 Z W 1 M b 2 N h d G l v b j 4 8 S X R l b V R 5 c G U + R m 9 y b X V s Y T w v S X R l b V R 5 c G U + P E l 0 Z W 1 Q Y X R o P l N l Y 3 R p b 2 4 x L 0 d L V k k v V m 9 v c n d h Y X J k Z W x p a m t l J T I w a 2 9 s b 2 0 l M j B p b m d l d m 9 l Z 2 Q y N D w v S X R l b V B h d G g + P C 9 J d G V t T G 9 j Y X R p b 2 4 + P F N 0 Y W J s Z U V u d H J p Z X M g L z 4 8 L 0 l 0 Z W 0 + P E l 0 Z W 0 + P E l 0 Z W 1 M b 2 N h d G l v b j 4 8 S X R l b V R 5 c G U + R m 9 y b X V s Y T w v S X R l b V R 5 c G U + P E l 0 Z W 1 Q Y X R o P l N l Y 3 R p b 2 4 x L 0 d L V k k v V m 9 v c n d h Y X J k Z W x p a m t l J T I w a 2 9 s b 2 0 l M j B p b m d l d m 9 l Z 2 Q y N T w v S X R l b V B h d G g + P C 9 J d G V t T G 9 j Y X R p b 2 4 + P F N 0 Y W J s Z U V u d H J p Z X M g L z 4 8 L 0 l 0 Z W 0 + P E l 0 Z W 0 + P E l 0 Z W 1 M b 2 N h d G l v b j 4 8 S X R l b V R 5 c G U + R m 9 y b X V s Y T w v S X R l b V R 5 c G U + P E l 0 Z W 1 Q Y X R o P l N l Y 3 R p b 2 4 x L 0 d L V k k v V m 9 v c n d h Y X J k Z W x p a m t l J T I w a 2 9 s b 2 0 l M j B p b m d l d m 9 l Z 2 Q y N j w v S X R l b V B h d G g + P C 9 J d G V t T G 9 j Y X R p b 2 4 + P F N 0 Y W J s Z U V u d H J p Z X M g L z 4 8 L 0 l 0 Z W 0 + P E l 0 Z W 0 + P E l 0 Z W 1 M b 2 N h d G l v b j 4 8 S X R l b V R 5 c G U + R m 9 y b X V s Y T w v S X R l b V R 5 c G U + P E l 0 Z W 1 Q Y X R o P l N l Y 3 R p b 2 4 x L 0 d L V k k v Q W F u Z 2 V w Y X N 0 J T I w a X R l b S U y M H R v Z W d l d m 9 l Z 2 Q y N z w v S X R l b V B h d G g + P C 9 J d G V t T G 9 j Y X R p b 2 4 + P F N 0 Y W J s Z U V u d H J p Z X M g L z 4 8 L 0 l 0 Z W 0 + P E l 0 Z W 0 + P E l 0 Z W 1 M b 2 N h d G l v b j 4 8 S X R l b V R 5 c G U + R m 9 y b X V s Y T w v S X R l b V R 5 c G U + P E l 0 Z W 1 Q Y X R o P l N l Y 3 R p b 2 4 x L 0 d L V k k v V m 9 v c n d h Y X J k Z W x p a m t l J T I w a 2 9 s b 2 0 l M j B p b m d l d m 9 l Z 2 Q y N z w v S X R l b V B h d G g + P C 9 J d G V t T G 9 j Y X R p b 2 4 + P F N 0 Y W J s Z U V u d H J p Z X M g L z 4 8 L 0 l 0 Z W 0 + P E l 0 Z W 0 + P E l 0 Z W 1 M b 2 N h d G l v b j 4 8 S X R l b V R 5 c G U + R m 9 y b X V s Y T w v S X R l b V R 5 c G U + P E l 0 Z W 1 Q Y X R o P l N l Y 3 R p b 2 4 x L 0 d L V k k v Q W F u Z 2 V w Y X N 0 J T I w a X R l b S U y M H R v Z W d l d m 9 l Z 2 Q y O D w v S X R l b V B h d G g + P C 9 J d G V t T G 9 j Y X R p b 2 4 + P F N 0 Y W J s Z U V u d H J p Z X M g L z 4 8 L 0 l 0 Z W 0 + P E l 0 Z W 0 + P E l 0 Z W 1 M b 2 N h d G l v b j 4 8 S X R l b V R 5 c G U + R m 9 y b X V s Y T w v S X R l b V R 5 c G U + P E l 0 Z W 1 Q Y X R o P l N l Y 3 R p b 2 4 x L 0 d L V k k v V m 9 v c n d h Y X J k Z W x p a m t l J T I w a 2 9 s b 2 0 l M j B p b m d l d m 9 l Z 2 Q y O D w v S X R l b V B h d G g + P C 9 J d G V t T G 9 j Y X R p b 2 4 + P F N 0 Y W J s Z U V u d H J p Z X M g L z 4 8 L 0 l 0 Z W 0 + P E l 0 Z W 0 + P E l 0 Z W 1 M b 2 N h d G l v b j 4 8 S X R l b V R 5 c G U + R m 9 y b X V s Y T w v S X R l b V R 5 c G U + P E l 0 Z W 1 Q Y X R o P l N l Y 3 R p b 2 4 x L 0 d L V k k v Q W F u Z 2 V w Y X N 0 J T I w a X R l b S U y M H R v Z W d l d m 9 l Z 2 Q y O T w v S X R l b V B h d G g + P C 9 J d G V t T G 9 j Y X R p b 2 4 + P F N 0 Y W J s Z U V u d H J p Z X M g L z 4 8 L 0 l 0 Z W 0 + P E l 0 Z W 0 + P E l 0 Z W 1 M b 2 N h d G l v b j 4 8 S X R l b V R 5 c G U + R m 9 y b X V s Y T w v S X R l b V R 5 c G U + P E l 0 Z W 1 Q Y X R o P l N l Y 3 R p b 2 4 x L 0 d L V k k v V m 9 v c n d h Y X J k Z W x p a m t l J T I w a 2 9 s b 2 0 l M j B p b m d l d m 9 l Z 2 Q y O T w v S X R l b V B h d G g + P C 9 J d G V t T G 9 j Y X R p b 2 4 + P F N 0 Y W J s Z U V u d H J p Z X M g L z 4 8 L 0 l 0 Z W 0 + P E l 0 Z W 0 + P E l 0 Z W 1 M b 2 N h d G l v b j 4 8 S X R l b V R 5 c G U + R m 9 y b X V s Y T w v S X R l b V R 5 c G U + P E l 0 Z W 1 Q Y X R o P l N l Y 3 R p b 2 4 x L 0 d L V k k v Q W F u Z 2 V w Y X N 0 J T I w a X R l b S U y M H R v Z W d l d m 9 l Z 2 Q z M D w v S X R l b V B h d G g + P C 9 J d G V t T G 9 j Y X R p b 2 4 + P F N 0 Y W J s Z U V u d H J p Z X M g L z 4 8 L 0 l 0 Z W 0 + P E l 0 Z W 0 + P E l 0 Z W 1 M b 2 N h d G l v b j 4 8 S X R l b V R 5 c G U + R m 9 y b X V s Y T w v S X R l b V R 5 c G U + P E l 0 Z W 1 Q Y X R o P l N l Y 3 R p b 2 4 x L 0 d L V k k v Q W F u Z 2 V w Y X N 0 J T I w a X R l b S U y M H R v Z W d l d m 9 l Z 2 Q z M T w v S X R l b V B h d G g + P C 9 J d G V t T G 9 j Y X R p b 2 4 + P F N 0 Y W J s Z U V u d H J p Z X M g L z 4 8 L 0 l 0 Z W 0 + P E l 0 Z W 0 + P E l 0 Z W 1 M b 2 N h d G l v b j 4 8 S X R l b V R 5 c G U + R m 9 y b X V s Y T w v S X R l b V R 5 c G U + P E l 0 Z W 1 Q Y X R o P l N l Y 3 R p b 2 4 x L 0 d L V k k v Q W F u Z 2 V w Y X N 0 J T I w a X R l b S U y M H R v Z W d l d m 9 l Z 2 Q z M j w v S X R l b V B h d G g + P C 9 J d G V t T G 9 j Y X R p b 2 4 + P F N 0 Y W J s Z U V u d H J p Z X M g L z 4 8 L 0 l 0 Z W 0 + P E l 0 Z W 0 + P E l 0 Z W 1 M b 2 N h d G l v b j 4 8 S X R l b V R 5 c G U + R m 9 y b X V s Y T w v S X R l b V R 5 c G U + P E l 0 Z W 1 Q Y X R o P l N l Y 3 R p b 2 4 x L 0 t E T S 9 W b 2 9 y d 2 F h c m R l b G l q a 2 U l M j B r b 2 x v b S U y M G l u Z 2 V 2 b 2 V n Z D I w P C 9 J d G V t U G F 0 a D 4 8 L 0 l 0 Z W 1 M b 2 N h d G l v b j 4 8 U 3 R h Y m x l R W 5 0 c m l l c y A v P j w v S X R l b T 4 8 S X R l b T 4 8 S X R l b U x v Y 2 F 0 a W 9 u P j x J d G V t V H l w Z T 5 G b 3 J t d W x h P C 9 J d G V t V H l w Z T 4 8 S X R l b V B h d G g + U 2 V j d G l v b j E v S 0 R N L 1 Z v b 3 J 3 Y W F y Z G V s a W p r Z S U y M G t v b G 9 t J T I w a W 5 n Z X Z v Z W d k M j E 8 L 0 l 0 Z W 1 Q Y X R o P j w v S X R l b U x v Y 2 F 0 a W 9 u P j x T d G F i b G V F b n R y a W V z I C 8 + P C 9 J d G V t P j x J d G V t P j x J d G V t T G 9 j Y X R p b 2 4 + P E l 0 Z W 1 U e X B l P k Z v c m 1 1 b G E 8 L 0 l 0 Z W 1 U e X B l P j x J d G V t U G F 0 a D 5 T Z W N 0 a W 9 u M S 9 L R E 0 v V m 9 v c n d h Y X J k Z W x p a m t l J T I w a 2 9 s b 2 0 l M j B p b m d l d m 9 l Z 2 Q y M j w v S X R l b V B h d G g + P C 9 J d G V t T G 9 j Y X R p b 2 4 + P F N 0 Y W J s Z U V u d H J p Z X M g L z 4 8 L 0 l 0 Z W 0 + P E l 0 Z W 0 + P E l 0 Z W 1 M b 2 N h d G l v b j 4 8 S X R l b V R 5 c G U + R m 9 y b X V s Y T w v S X R l b V R 5 c G U + P E l 0 Z W 1 Q Y X R o P l N l Y 3 R p b 2 4 x L 0 t E T S 9 B Y W 5 n Z X B h c 3 Q l M j B p d G V t J T I w d G 9 l Z 2 V 2 b 2 V n Z D I z P C 9 J d G V t U G F 0 a D 4 8 L 0 l 0 Z W 1 M b 2 N h d G l v b j 4 8 U 3 R h Y m x l R W 5 0 c m l l c y A v P j w v S X R l b T 4 8 S X R l b T 4 8 S X R l b U x v Y 2 F 0 a W 9 u P j x J d G V t V H l w Z T 5 G b 3 J t d W x h P C 9 J d G V t V H l w Z T 4 8 S X R l b V B h d G g + U 2 V j d G l v b j E v S 0 R N L 1 Z v b 3 J 3 Y W F y Z G V s a W p r Z S U y M G t v b G 9 t J T I w a W 5 n Z X Z v Z W d k M j M 8 L 0 l 0 Z W 1 Q Y X R o P j w v S X R l b U x v Y 2 F 0 a W 9 u P j x T d G F i b G V F b n R y a W V z I C 8 + P C 9 J d G V t P j x J d G V t P j x J d G V t T G 9 j Y X R p b 2 4 + P E l 0 Z W 1 U e X B l P k Z v c m 1 1 b G E 8 L 0 l 0 Z W 1 U e X B l P j x J d G V t U G F 0 a D 5 T Z W N 0 a W 9 u M S 9 L R E 0 v Q W F u Z 2 V w Y X N 0 J T I w a X R l b S U y M H R v Z W d l d m 9 l Z 2 Q y N D w v S X R l b V B h d G g + P C 9 J d G V t T G 9 j Y X R p b 2 4 + P F N 0 Y W J s Z U V u d H J p Z X M g L z 4 8 L 0 l 0 Z W 0 + P E l 0 Z W 0 + P E l 0 Z W 1 M b 2 N h d G l v b j 4 8 S X R l b V R 5 c G U + R m 9 y b X V s Y T w v S X R l b V R 5 c G U + P E l 0 Z W 1 Q Y X R o P l N l Y 3 R p b 2 4 x L 0 t E T S 9 W b 2 9 y d 2 F h c m R l b G l q a 2 U l M j B r b 2 x v b S U y M G l u Z 2 V 2 b 2 V n Z D I 0 P C 9 J d G V t U G F 0 a D 4 8 L 0 l 0 Z W 1 M b 2 N h d G l v b j 4 8 U 3 R h Y m x l R W 5 0 c m l l c y A v P j w v S X R l b T 4 8 S X R l b T 4 8 S X R l b U x v Y 2 F 0 a W 9 u P j x J d G V t V H l w Z T 5 G b 3 J t d W x h P C 9 J d G V t V H l w Z T 4 8 S X R l b V B h d G g + U 2 V j d G l v b j E v S 0 R N L 0 F h b m d l c G F z d C U y M G l 0 Z W 0 l M j B 0 b 2 V n Z X Z v Z W d k M j U 8 L 0 l 0 Z W 1 Q Y X R o P j w v S X R l b U x v Y 2 F 0 a W 9 u P j x T d G F i b G V F b n R y a W V z I C 8 + P C 9 J d G V t P j x J d G V t P j x J d G V t T G 9 j Y X R p b 2 4 + P E l 0 Z W 1 U e X B l P k Z v c m 1 1 b G E 8 L 0 l 0 Z W 1 U e X B l P j x J d G V t U G F 0 a D 5 T Z W N 0 a W 9 u M S 9 L R E 0 v V m 9 v c n d h Y X J k Z W x p a m t l J T I w a 2 9 s b 2 0 l M j B p b m d l d m 9 l Z 2 Q y N T w v S X R l b V B h d G g + P C 9 J d G V t T G 9 j Y X R p b 2 4 + P F N 0 Y W J s Z U V u d H J p Z X M g L z 4 8 L 0 l 0 Z W 0 + P E l 0 Z W 0 + P E l 0 Z W 1 M b 2 N h d G l v b j 4 8 S X R l b V R 5 c G U + R m 9 y b X V s Y T w v S X R l b V R 5 c G U + P E l 0 Z W 1 Q Y X R o P l N l Y 3 R p b 2 4 x L 0 t E T S 9 B Y W 5 n Z X B h c 3 Q l M j B p d G V t J T I w d G 9 l Z 2 V 2 b 2 V n Z D I 2 P C 9 J d G V t U G F 0 a D 4 8 L 0 l 0 Z W 1 M b 2 N h d G l v b j 4 8 U 3 R h Y m x l R W 5 0 c m l l c y A v P j w v S X R l b T 4 8 S X R l b T 4 8 S X R l b U x v Y 2 F 0 a W 9 u P j x J d G V t V H l w Z T 5 G b 3 J t d W x h P C 9 J d G V t V H l w Z T 4 8 S X R l b V B h d G g + U 2 V j d G l v b j E v S 0 R N L 1 Z v b 3 J 3 Y W F y Z G V s a W p r Z S U y M G t v b G 9 t J T I w a W 5 n Z X Z v Z W d k M j Y 8 L 0 l 0 Z W 1 Q Y X R o P j w v S X R l b U x v Y 2 F 0 a W 9 u P j x T d G F i b G V F b n R y a W V z I C 8 + P C 9 J d G V t P j x J d G V t P j x J d G V t T G 9 j Y X R p b 2 4 + P E l 0 Z W 1 U e X B l P k Z v c m 1 1 b G E 8 L 0 l 0 Z W 1 U e X B l P j x J d G V t U G F 0 a D 5 T Z W N 0 a W 9 u M S 9 L R E 0 v Q W F u Z 2 V w Y X N 0 J T I w a X R l b S U y M H R v Z W d l d m 9 l Z 2 Q y N z w v S X R l b V B h d G g + P C 9 J d G V t T G 9 j Y X R p b 2 4 + P F N 0 Y W J s Z U V u d H J p Z X M g L z 4 8 L 0 l 0 Z W 0 + P E l 0 Z W 0 + P E l 0 Z W 1 M b 2 N h d G l v b j 4 8 S X R l b V R 5 c G U + R m 9 y b X V s Y T w v S X R l b V R 5 c G U + P E l 0 Z W 1 Q Y X R o P l N l Y 3 R p b 2 4 x L 0 t E T S 9 W b 2 9 y d 2 F h c m R l b G l q a 2 U l M j B r b 2 x v b S U y M G l u Z 2 V 2 b 2 V n Z D I 3 P C 9 J d G V t U G F 0 a D 4 8 L 0 l 0 Z W 1 M b 2 N h d G l v b j 4 8 U 3 R h Y m x l R W 5 0 c m l l c y A v P j w v S X R l b T 4 8 S X R l b T 4 8 S X R l b U x v Y 2 F 0 a W 9 u P j x J d G V t V H l w Z T 5 G b 3 J t d W x h P C 9 J d G V t V H l w Z T 4 8 S X R l b V B h d G g + U 2 V j d G l v b j E v S 0 R N L 1 Z v b 3 J 3 Y W F y Z G V s a W p r Z S U y M G t v b G 9 t J T I w a W 5 n Z X Z v Z W d k M j g 8 L 0 l 0 Z W 1 Q Y X R o P j w v S X R l b U x v Y 2 F 0 a W 9 u P j x T d G F i b G V F b n R y a W V z I C 8 + P C 9 J d G V t P j x J d G V t P j x J d G V t T G 9 j Y X R p b 2 4 + P E l 0 Z W 1 U e X B l P k Z v c m 1 1 b G E 8 L 0 l 0 Z W 1 U e X B l P j x J d G V t U G F 0 a D 5 T Z W N 0 a W 9 u M S 9 L R E 0 v V m 9 v c n d h Y X J k Z W x p a m t l J T I w a 2 9 s b 2 0 l M j B p b m d l d m 9 l Z 2 Q y O T w v S X R l b V B h d G g + P C 9 J d G V t T G 9 j Y X R p b 2 4 + P F N 0 Y W J s Z U V u d H J p Z X M g L z 4 8 L 0 l 0 Z W 0 + P E l 0 Z W 0 + P E l 0 Z W 1 M b 2 N h d G l v b j 4 8 S X R l b V R 5 c G U + R m 9 y b X V s Y T w v S X R l b V R 5 c G U + P E l 0 Z W 1 Q Y X R o P l N l Y 3 R p b 2 4 x L 0 t E T S 9 B Y W 5 n Z X B h c 3 Q l M j B p d G V t J T I w d G 9 l Z 2 V 2 b 2 V n Z D U 4 P C 9 J d G V t U G F 0 a D 4 8 L 0 l 0 Z W 1 M b 2 N h d G l v b j 4 8 U 3 R h Y m x l R W 5 0 c m l l c y A v P j w v S X R l b T 4 8 S X R l b T 4 8 S X R l b U x v Y 2 F 0 a W 9 u P j x J d G V t V H l w Z T 5 G b 3 J t d W x h P C 9 J d G V t V H l w Z T 4 8 S X R l b V B h d G g + U 2 V j d G l v b j E v S 0 R N L 0 F h b m d l c G F z d C U y M G l 0 Z W 0 l M j B 0 b 2 V n Z X Z v Z W d k N T k 8 L 0 l 0 Z W 1 Q Y X R o P j w v S X R l b U x v Y 2 F 0 a W 9 u P j x T d G F i b G V F b n R y a W V z I C 8 + P C 9 J d G V t P j x J d G V t P j x J d G V t T G 9 j Y X R p b 2 4 + P E l 0 Z W 1 U e X B l P k Z v c m 1 1 b G E 8 L 0 l 0 Z W 1 U e X B l P j x J d G V t U G F 0 a D 5 T Z W N 0 a W 9 u M S 9 L R E 0 v Q W F u Z 2 V w Y X N 0 J T I w a X R l b S U y M H R v Z W d l d m 9 l Z 2 Q 2 M D w v S X R l b V B h d G g + P C 9 J d G V t T G 9 j Y X R p b 2 4 + P F N 0 Y W J s Z U V u d H J p Z X M g L z 4 8 L 0 l 0 Z W 0 + P E l 0 Z W 0 + P E l 0 Z W 1 M b 2 N h d G l v b j 4 8 S X R l b V R 5 c G U + R m 9 y b X V s Y T w v S X R l b V R 5 c G U + P E l 0 Z W 1 Q Y X R o P l N l Y 3 R p b 2 4 x L 0 t E T S 9 B Y W 5 n Z X B h c 3 Q l M j B p d G V t J T I w d G 9 l Z 2 V 2 b 2 V n Z D Y x P C 9 J d G V t U G F 0 a D 4 8 L 0 l 0 Z W 1 M b 2 N h d G l v b j 4 8 U 3 R h Y m x l R W 5 0 c m l l c y A v P j w v S X R l b T 4 8 S X R l b T 4 8 S X R l b U x v Y 2 F 0 a W 9 u P j x J d G V t V H l w Z T 5 G b 3 J t d W x h P C 9 J d G V t V H l w Z T 4 8 S X R l b V B h d G g + U 2 V j d G l v b j E v S 0 R N L 0 F h b m d l c G F z d C U y M G l 0 Z W 0 l M j B 0 b 2 V n Z X Z v Z W d k N j I 8 L 0 l 0 Z W 1 Q Y X R o P j w v S X R l b U x v Y 2 F 0 a W 9 u P j x T d G F i b G V F b n R y a W V z I C 8 + P C 9 J d G V t P j x J d G V t P j x J d G V t T G 9 j Y X R p b 2 4 + P E l 0 Z W 1 U e X B l P k Z v c m 1 1 b G E 8 L 0 l 0 Z W 1 U e X B l P j x J d G V t U G F 0 a D 5 T Z W N 0 a W 9 u M S 9 L R E w v V m 9 v c n d h Y X J k Z W x p a m t l J T I w a 2 9 s b 2 0 l M j B p b m d l d m 9 l Z 2 Q y M D w v S X R l b V B h d G g + P C 9 J d G V t T G 9 j Y X R p b 2 4 + P F N 0 Y W J s Z U V u d H J p Z X M g L z 4 8 L 0 l 0 Z W 0 + P E l 0 Z W 0 + P E l 0 Z W 1 M b 2 N h d G l v b j 4 8 S X R l b V R 5 c G U + R m 9 y b X V s Y T w v S X R l b V R 5 c G U + P E l 0 Z W 1 Q Y X R o P l N l Y 3 R p b 2 4 x L 0 t E T C 9 W b 2 9 y d 2 F h c m R l b G l q a 2 U l M j B r b 2 x v b S U y M G l u Z 2 V 2 b 2 V n Z D I x P C 9 J d G V t U G F 0 a D 4 8 L 0 l 0 Z W 1 M b 2 N h d G l v b j 4 8 U 3 R h Y m x l R W 5 0 c m l l c y A v P j w v S X R l b T 4 8 S X R l b T 4 8 S X R l b U x v Y 2 F 0 a W 9 u P j x J d G V t V H l w Z T 5 G b 3 J t d W x h P C 9 J d G V t V H l w Z T 4 8 S X R l b V B h d G g + U 2 V j d G l v b j E v S 0 R M L 1 Z v b 3 J 3 Y W F y Z G V s a W p r Z S U y M G t v b G 9 t J T I w a W 5 n Z X Z v Z W d k M j I 8 L 0 l 0 Z W 1 Q Y X R o P j w v S X R l b U x v Y 2 F 0 a W 9 u P j x T d G F i b G V F b n R y a W V z I C 8 + P C 9 J d G V t P j x J d G V t P j x J d G V t T G 9 j Y X R p b 2 4 + P E l 0 Z W 1 U e X B l P k Z v c m 1 1 b G E 8 L 0 l 0 Z W 1 U e X B l P j x J d G V t U G F 0 a D 5 T Z W N 0 a W 9 u M S 9 L R E w v Q W F u Z 2 V w Y X N 0 J T I w a X R l b S U y M H R v Z W d l d m 9 l Z 2 Q y M z w v S X R l b V B h d G g + P C 9 J d G V t T G 9 j Y X R p b 2 4 + P F N 0 Y W J s Z U V u d H J p Z X M g L z 4 8 L 0 l 0 Z W 0 + P E l 0 Z W 0 + P E l 0 Z W 1 M b 2 N h d G l v b j 4 8 S X R l b V R 5 c G U + R m 9 y b X V s Y T w v S X R l b V R 5 c G U + P E l 0 Z W 1 Q Y X R o P l N l Y 3 R p b 2 4 x L 0 t E T C 9 W b 2 9 y d 2 F h c m R l b G l q a 2 U l M j B r b 2 x v b S U y M G l u Z 2 V 2 b 2 V n Z D I z P C 9 J d G V t U G F 0 a D 4 8 L 0 l 0 Z W 1 M b 2 N h d G l v b j 4 8 U 3 R h Y m x l R W 5 0 c m l l c y A v P j w v S X R l b T 4 8 S X R l b T 4 8 S X R l b U x v Y 2 F 0 a W 9 u P j x J d G V t V H l w Z T 5 G b 3 J t d W x h P C 9 J d G V t V H l w Z T 4 8 S X R l b V B h d G g + U 2 V j d G l v b j E v S 0 R M L 0 F h b m d l c G F z d C U y M G l 0 Z W 0 l M j B 0 b 2 V n Z X Z v Z W d k M j Q 8 L 0 l 0 Z W 1 Q Y X R o P j w v S X R l b U x v Y 2 F 0 a W 9 u P j x T d G F i b G V F b n R y a W V z I C 8 + P C 9 J d G V t P j x J d G V t P j x J d G V t T G 9 j Y X R p b 2 4 + P E l 0 Z W 1 U e X B l P k Z v c m 1 1 b G E 8 L 0 l 0 Z W 1 U e X B l P j x J d G V t U G F 0 a D 5 T Z W N 0 a W 9 u M S 9 L R E w v V m 9 v c n d h Y X J k Z W x p a m t l J T I w a 2 9 s b 2 0 l M j B p b m d l d m 9 l Z 2 Q y N D w v S X R l b V B h d G g + P C 9 J d G V t T G 9 j Y X R p b 2 4 + P F N 0 Y W J s Z U V u d H J p Z X M g L z 4 8 L 0 l 0 Z W 0 + P E l 0 Z W 0 + P E l 0 Z W 1 M b 2 N h d G l v b j 4 8 S X R l b V R 5 c G U + R m 9 y b X V s Y T w v S X R l b V R 5 c G U + P E l 0 Z W 1 Q Y X R o P l N l Y 3 R p b 2 4 x L 0 t E T C 9 B Y W 5 n Z X B h c 3 Q l M j B p d G V t J T I w d G 9 l Z 2 V 2 b 2 V n Z D I 1 P C 9 J d G V t U G F 0 a D 4 8 L 0 l 0 Z W 1 M b 2 N h d G l v b j 4 8 U 3 R h Y m x l R W 5 0 c m l l c y A v P j w v S X R l b T 4 8 S X R l b T 4 8 S X R l b U x v Y 2 F 0 a W 9 u P j x J d G V t V H l w Z T 5 G b 3 J t d W x h P C 9 J d G V t V H l w Z T 4 8 S X R l b V B h d G g + U 2 V j d G l v b j E v S 0 R M L 1 Z v b 3 J 3 Y W F y Z G V s a W p r Z S U y M G t v b G 9 t J T I w a W 5 n Z X Z v Z W d k M j U 8 L 0 l 0 Z W 1 Q Y X R o P j w v S X R l b U x v Y 2 F 0 a W 9 u P j x T d G F i b G V F b n R y a W V z I C 8 + P C 9 J d G V t P j x J d G V t P j x J d G V t T G 9 j Y X R p b 2 4 + P E l 0 Z W 1 U e X B l P k Z v c m 1 1 b G E 8 L 0 l 0 Z W 1 U e X B l P j x J d G V t U G F 0 a D 5 T Z W N 0 a W 9 u M S 9 L R E w v Q W F u Z 2 V w Y X N 0 J T I w a X R l b S U y M H R v Z W d l d m 9 l Z 2 Q y N j w v S X R l b V B h d G g + P C 9 J d G V t T G 9 j Y X R p b 2 4 + P F N 0 Y W J s Z U V u d H J p Z X M g L z 4 8 L 0 l 0 Z W 0 + P E l 0 Z W 0 + P E l 0 Z W 1 M b 2 N h d G l v b j 4 8 S X R l b V R 5 c G U + R m 9 y b X V s Y T w v S X R l b V R 5 c G U + P E l 0 Z W 1 Q Y X R o P l N l Y 3 R p b 2 4 x L 0 t E T C 9 W b 2 9 y d 2 F h c m R l b G l q a 2 U l M j B r b 2 x v b S U y M G l u Z 2 V 2 b 2 V n Z D I 2 P C 9 J d G V t U G F 0 a D 4 8 L 0 l 0 Z W 1 M b 2 N h d G l v b j 4 8 U 3 R h Y m x l R W 5 0 c m l l c y A v P j w v S X R l b T 4 8 S X R l b T 4 8 S X R l b U x v Y 2 F 0 a W 9 u P j x J d G V t V H l w Z T 5 G b 3 J t d W x h P C 9 J d G V t V H l w Z T 4 8 S X R l b V B h d G g + U 2 V j d G l v b j E v S 0 R M L 0 F h b m d l c G F z d C U y M G l 0 Z W 0 l M j B 0 b 2 V n Z X Z v Z W d k M j c 8 L 0 l 0 Z W 1 Q Y X R o P j w v S X R l b U x v Y 2 F 0 a W 9 u P j x T d G F i b G V F b n R y a W V z I C 8 + P C 9 J d G V t P j x J d G V t P j x J d G V t T G 9 j Y X R p b 2 4 + P E l 0 Z W 1 U e X B l P k Z v c m 1 1 b G E 8 L 0 l 0 Z W 1 U e X B l P j x J d G V t U G F 0 a D 5 T Z W N 0 a W 9 u M S 9 L R E w v V m 9 v c n d h Y X J k Z W x p a m t l J T I w a 2 9 s b 2 0 l M j B p b m d l d m 9 l Z 2 Q y N z w v S X R l b V B h d G g + P C 9 J d G V t T G 9 j Y X R p b 2 4 + P F N 0 Y W J s Z U V u d H J p Z X M g L z 4 8 L 0 l 0 Z W 0 + P E l 0 Z W 0 + P E l 0 Z W 1 M b 2 N h d G l v b j 4 8 S X R l b V R 5 c G U + R m 9 y b X V s Y T w v S X R l b V R 5 c G U + P E l 0 Z W 1 Q Y X R o P l N l Y 3 R p b 2 4 x L 0 t E T C 9 W b 2 9 y d 2 F h c m R l b G l q a 2 U l M j B r b 2 x v b S U y M G l u Z 2 V 2 b 2 V n Z D I 4 P C 9 J d G V t U G F 0 a D 4 8 L 0 l 0 Z W 1 M b 2 N h d G l v b j 4 8 U 3 R h Y m x l R W 5 0 c m l l c y A v P j w v S X R l b T 4 8 S X R l b T 4 8 S X R l b U x v Y 2 F 0 a W 9 u P j x J d G V t V H l w Z T 5 G b 3 J t d W x h P C 9 J d G V t V H l w Z T 4 8 S X R l b V B h d G g + U 2 V j d G l v b j E v S 0 R M L 1 Z v b 3 J 3 Y W F y Z G V s a W p r Z S U y M G t v b G 9 t J T I w a W 5 n Z X Z v Z W d k M j k 8 L 0 l 0 Z W 1 Q Y X R o P j w v S X R l b U x v Y 2 F 0 a W 9 u P j x T d G F i b G V F b n R y a W V z I C 8 + P C 9 J d G V t P j x J d G V t P j x J d G V t T G 9 j Y X R p b 2 4 + P E l 0 Z W 1 U e X B l P k Z v c m 1 1 b G E 8 L 0 l 0 Z W 1 U e X B l P j x J d G V t U G F 0 a D 5 T Z W N 0 a W 9 u M S 9 L R E w v Q W F u Z 2 V w Y X N 0 J T I w a X R l b S U y M H R v Z W d l d m 9 l Z 2 Q 1 O D w v S X R l b V B h d G g + P C 9 J d G V t T G 9 j Y X R p b 2 4 + P F N 0 Y W J s Z U V u d H J p Z X M g L z 4 8 L 0 l 0 Z W 0 + P E l 0 Z W 0 + P E l 0 Z W 1 M b 2 N h d G l v b j 4 8 S X R l b V R 5 c G U + R m 9 y b X V s Y T w v S X R l b V R 5 c G U + P E l 0 Z W 1 Q Y X R o P l N l Y 3 R p b 2 4 x L 0 t E T C 9 B Y W 5 n Z X B h c 3 Q l M j B p d G V t J T I w d G 9 l Z 2 V 2 b 2 V n Z D U 5 P C 9 J d G V t U G F 0 a D 4 8 L 0 l 0 Z W 1 M b 2 N h d G l v b j 4 8 U 3 R h Y m x l R W 5 0 c m l l c y A v P j w v S X R l b T 4 8 S X R l b T 4 8 S X R l b U x v Y 2 F 0 a W 9 u P j x J d G V t V H l w Z T 5 G b 3 J t d W x h P C 9 J d G V t V H l w Z T 4 8 S X R l b V B h d G g + U 2 V j d G l v b j E v S 0 R M L 0 F h b m d l c G F z d C U y M G l 0 Z W 0 l M j B 0 b 2 V n Z X Z v Z W d k N j A 8 L 0 l 0 Z W 1 Q Y X R o P j w v S X R l b U x v Y 2 F 0 a W 9 u P j x T d G F i b G V F b n R y a W V z I C 8 + P C 9 J d G V t P j x J d G V t P j x J d G V t T G 9 j Y X R p b 2 4 + P E l 0 Z W 1 U e X B l P k Z v c m 1 1 b G E 8 L 0 l 0 Z W 1 U e X B l P j x J d G V t U G F 0 a D 5 T Z W N 0 a W 9 u M S 9 L R E w v Q W F u Z 2 V w Y X N 0 J T I w a X R l b S U y M H R v Z W d l d m 9 l Z 2 Q 2 M T w v S X R l b V B h d G g + P C 9 J d G V t T G 9 j Y X R p b 2 4 + P F N 0 Y W J s Z U V u d H J p Z X M g L z 4 8 L 0 l 0 Z W 0 + P E l 0 Z W 0 + P E l 0 Z W 1 M b 2 N h d G l v b j 4 8 S X R l b V R 5 c G U + R m 9 y b X V s Y T w v S X R l b V R 5 c G U + P E l 0 Z W 1 Q Y X R o P l N l Y 3 R p b 2 4 x L 0 t E T C 9 B Y W 5 n Z X B h c 3 Q l M j B p d G V t J T I w d G 9 l Z 2 V 2 b 2 V n Z D Y y P C 9 J d G V t U G F 0 a D 4 8 L 0 l 0 Z W 1 M b 2 N h d G l v b j 4 8 U 3 R h Y m x l R W 5 0 c m l l c y A v P j w v S X R l b T 4 8 S X R l b T 4 8 S X R l b U x v Y 2 F 0 a W 9 u P j x J d G V t V H l w Z T 5 G b 3 J t d W x h P C 9 J d G V t V H l w Z T 4 8 S X R l b V B h d G g + U 2 V j d G l v b j E v S 0 R S d k 5 C L 1 Z v b 3 J 3 Y W F y Z G V s a W p r Z S U y M G t v b G 9 t J T I w a W 5 n Z X Z v Z W d k M j A 8 L 0 l 0 Z W 1 Q Y X R o P j w v S X R l b U x v Y 2 F 0 a W 9 u P j x T d G F i b G V F b n R y a W V z I C 8 + P C 9 J d G V t P j x J d G V t P j x J d G V t T G 9 j Y X R p b 2 4 + P E l 0 Z W 1 U e X B l P k Z v c m 1 1 b G E 8 L 0 l 0 Z W 1 U e X B l P j x J d G V t U G F 0 a D 5 T Z W N 0 a W 9 u M S 9 L R F J 2 T k I v V m 9 v c n d h Y X J k Z W x p a m t l J T I w a 2 9 s b 2 0 l M j B p b m d l d m 9 l Z 2 Q y M T w v S X R l b V B h d G g + P C 9 J d G V t T G 9 j Y X R p b 2 4 + P F N 0 Y W J s Z U V u d H J p Z X M g L z 4 8 L 0 l 0 Z W 0 + P E l 0 Z W 0 + P E l 0 Z W 1 M b 2 N h d G l v b j 4 8 S X R l b V R 5 c G U + R m 9 y b X V s Y T w v S X R l b V R 5 c G U + P E l 0 Z W 1 Q Y X R o P l N l Y 3 R p b 2 4 x L 0 t E U n Z O Q i 9 W b 2 9 y d 2 F h c m R l b G l q a 2 U l M j B r b 2 x v b S U y M G l u Z 2 V 2 b 2 V n Z D I y P C 9 J d G V t U G F 0 a D 4 8 L 0 l 0 Z W 1 M b 2 N h d G l v b j 4 8 U 3 R h Y m x l R W 5 0 c m l l c y A v P j w v S X R l b T 4 8 S X R l b T 4 8 S X R l b U x v Y 2 F 0 a W 9 u P j x J d G V t V H l w Z T 5 G b 3 J t d W x h P C 9 J d G V t V H l w Z T 4 8 S X R l b V B h d G g + U 2 V j d G l v b j E v S 0 R S d k 5 C L 0 F h b m d l c G F z d C U y M G l 0 Z W 0 l M j B 0 b 2 V n Z X Z v Z W d k M j M 8 L 0 l 0 Z W 1 Q Y X R o P j w v S X R l b U x v Y 2 F 0 a W 9 u P j x T d G F i b G V F b n R y a W V z I C 8 + P C 9 J d G V t P j x J d G V t P j x J d G V t T G 9 j Y X R p b 2 4 + P E l 0 Z W 1 U e X B l P k Z v c m 1 1 b G E 8 L 0 l 0 Z W 1 U e X B l P j x J d G V t U G F 0 a D 5 T Z W N 0 a W 9 u M S 9 L R F J 2 T k I v V m 9 v c n d h Y X J k Z W x p a m t l J T I w a 2 9 s b 2 0 l M j B p b m d l d m 9 l Z 2 Q y M z w v S X R l b V B h d G g + P C 9 J d G V t T G 9 j Y X R p b 2 4 + P F N 0 Y W J s Z U V u d H J p Z X M g L z 4 8 L 0 l 0 Z W 0 + P E l 0 Z W 0 + P E l 0 Z W 1 M b 2 N h d G l v b j 4 8 S X R l b V R 5 c G U + R m 9 y b X V s Y T w v S X R l b V R 5 c G U + P E l 0 Z W 1 Q Y X R o P l N l Y 3 R p b 2 4 x L 0 t E U n Z O Q i 9 B Y W 5 n Z X B h c 3 Q l M j B p d G V t J T I w d G 9 l Z 2 V 2 b 2 V n Z D I 0 P C 9 J d G V t U G F 0 a D 4 8 L 0 l 0 Z W 1 M b 2 N h d G l v b j 4 8 U 3 R h Y m x l R W 5 0 c m l l c y A v P j w v S X R l b T 4 8 S X R l b T 4 8 S X R l b U x v Y 2 F 0 a W 9 u P j x J d G V t V H l w Z T 5 G b 3 J t d W x h P C 9 J d G V t V H l w Z T 4 8 S X R l b V B h d G g + U 2 V j d G l v b j E v S 0 R S d k 5 C L 1 Z v b 3 J 3 Y W F y Z G V s a W p r Z S U y M G t v b G 9 t J T I w a W 5 n Z X Z v Z W d k M j Q 8 L 0 l 0 Z W 1 Q Y X R o P j w v S X R l b U x v Y 2 F 0 a W 9 u P j x T d G F i b G V F b n R y a W V z I C 8 + P C 9 J d G V t P j x J d G V t P j x J d G V t T G 9 j Y X R p b 2 4 + P E l 0 Z W 1 U e X B l P k Z v c m 1 1 b G E 8 L 0 l 0 Z W 1 U e X B l P j x J d G V t U G F 0 a D 5 T Z W N 0 a W 9 u M S 9 L R F J 2 T k I v Q W F u Z 2 V w Y X N 0 J T I w a X R l b S U y M H R v Z W d l d m 9 l Z 2 Q y N T w v S X R l b V B h d G g + P C 9 J d G V t T G 9 j Y X R p b 2 4 + P F N 0 Y W J s Z U V u d H J p Z X M g L z 4 8 L 0 l 0 Z W 0 + P E l 0 Z W 0 + P E l 0 Z W 1 M b 2 N h d G l v b j 4 8 S X R l b V R 5 c G U + R m 9 y b X V s Y T w v S X R l b V R 5 c G U + P E l 0 Z W 1 Q Y X R o P l N l Y 3 R p b 2 4 x L 0 t E U n Z O Q i 9 W b 2 9 y d 2 F h c m R l b G l q a 2 U l M j B r b 2 x v b S U y M G l u Z 2 V 2 b 2 V n Z D I 1 P C 9 J d G V t U G F 0 a D 4 8 L 0 l 0 Z W 1 M b 2 N h d G l v b j 4 8 U 3 R h Y m x l R W 5 0 c m l l c y A v P j w v S X R l b T 4 8 S X R l b T 4 8 S X R l b U x v Y 2 F 0 a W 9 u P j x J d G V t V H l w Z T 5 G b 3 J t d W x h P C 9 J d G V t V H l w Z T 4 8 S X R l b V B h d G g + U 2 V j d G l v b j E v S 0 R S d k 5 C L 0 F h b m d l c G F z d C U y M G l 0 Z W 0 l M j B 0 b 2 V n Z X Z v Z W d k M j Y 8 L 0 l 0 Z W 1 Q Y X R o P j w v S X R l b U x v Y 2 F 0 a W 9 u P j x T d G F i b G V F b n R y a W V z I C 8 + P C 9 J d G V t P j x J d G V t P j x J d G V t T G 9 j Y X R p b 2 4 + P E l 0 Z W 1 U e X B l P k Z v c m 1 1 b G E 8 L 0 l 0 Z W 1 U e X B l P j x J d G V t U G F 0 a D 5 T Z W N 0 a W 9 u M S 9 L R F J 2 T k I v V m 9 v c n d h Y X J k Z W x p a m t l J T I w a 2 9 s b 2 0 l M j B p b m d l d m 9 l Z 2 Q y N j w v S X R l b V B h d G g + P C 9 J d G V t T G 9 j Y X R p b 2 4 + P F N 0 Y W J s Z U V u d H J p Z X M g L z 4 8 L 0 l 0 Z W 0 + P E l 0 Z W 0 + P E l 0 Z W 1 M b 2 N h d G l v b j 4 8 S X R l b V R 5 c G U + R m 9 y b X V s Y T w v S X R l b V R 5 c G U + P E l 0 Z W 1 Q Y X R o P l N l Y 3 R p b 2 4 x L 0 t E U n Z O Q i 9 B Y W 5 n Z X B h c 3 Q l M j B p d G V t J T I w d G 9 l Z 2 V 2 b 2 V n Z D I 3 P C 9 J d G V t U G F 0 a D 4 8 L 0 l 0 Z W 1 M b 2 N h d G l v b j 4 8 U 3 R h Y m x l R W 5 0 c m l l c y A v P j w v S X R l b T 4 8 S X R l b T 4 8 S X R l b U x v Y 2 F 0 a W 9 u P j x J d G V t V H l w Z T 5 G b 3 J t d W x h P C 9 J d G V t V H l w Z T 4 8 S X R l b V B h d G g + U 2 V j d G l v b j E v S 0 R S d k 5 C L 1 Z v b 3 J 3 Y W F y Z G V s a W p r Z S U y M G t v b G 9 t J T I w a W 5 n Z X Z v Z W d k M j c 8 L 0 l 0 Z W 1 Q Y X R o P j w v S X R l b U x v Y 2 F 0 a W 9 u P j x T d G F i b G V F b n R y a W V z I C 8 + P C 9 J d G V t P j x J d G V t P j x J d G V t T G 9 j Y X R p b 2 4 + P E l 0 Z W 1 U e X B l P k Z v c m 1 1 b G E 8 L 0 l 0 Z W 1 U e X B l P j x J d G V t U G F 0 a D 5 T Z W N 0 a W 9 u M S 9 L R F J 2 T k I v V m 9 v c n d h Y X J k Z W x p a m t l J T I w a 2 9 s b 2 0 l M j B p b m d l d m 9 l Z 2 Q y O D w v S X R l b V B h d G g + P C 9 J d G V t T G 9 j Y X R p b 2 4 + P F N 0 Y W J s Z U V u d H J p Z X M g L z 4 8 L 0 l 0 Z W 0 + P E l 0 Z W 0 + P E l 0 Z W 1 M b 2 N h d G l v b j 4 8 S X R l b V R 5 c G U + R m 9 y b X V s Y T w v S X R l b V R 5 c G U + P E l 0 Z W 1 Q Y X R o P l N l Y 3 R p b 2 4 x L 0 t E U n Z O Q i 9 W b 2 9 y d 2 F h c m R l b G l q a 2 U l M j B r b 2 x v b S U y M G l u Z 2 V 2 b 2 V n Z D I 5 P C 9 J d G V t U G F 0 a D 4 8 L 0 l 0 Z W 1 M b 2 N h d G l v b j 4 8 U 3 R h Y m x l R W 5 0 c m l l c y A v P j w v S X R l b T 4 8 S X R l b T 4 8 S X R l b U x v Y 2 F 0 a W 9 u P j x J d G V t V H l w Z T 5 G b 3 J t d W x h P C 9 J d G V t V H l w Z T 4 8 S X R l b V B h d G g + U 2 V j d G l v b j E v S 0 R S d k 5 C L 0 F h b m d l c G F z d C U y M G l 0 Z W 0 l M j B 0 b 2 V n Z X Z v Z W d k N T g 8 L 0 l 0 Z W 1 Q Y X R o P j w v S X R l b U x v Y 2 F 0 a W 9 u P j x T d G F i b G V F b n R y a W V z I C 8 + P C 9 J d G V t P j x J d G V t P j x J d G V t T G 9 j Y X R p b 2 4 + P E l 0 Z W 1 U e X B l P k Z v c m 1 1 b G E 8 L 0 l 0 Z W 1 U e X B l P j x J d G V t U G F 0 a D 5 T Z W N 0 a W 9 u M S 9 L R F J 2 T k I v Q W F u Z 2 V w Y X N 0 J T I w a X R l b S U y M H R v Z W d l d m 9 l Z 2 Q 1 O T w v S X R l b V B h d G g + P C 9 J d G V t T G 9 j Y X R p b 2 4 + P F N 0 Y W J s Z U V u d H J p Z X M g L z 4 8 L 0 l 0 Z W 0 + P E l 0 Z W 0 + P E l 0 Z W 1 M b 2 N h d G l v b j 4 8 S X R l b V R 5 c G U + R m 9 y b X V s Y T w v S X R l b V R 5 c G U + P E l 0 Z W 1 Q Y X R o P l N l Y 3 R p b 2 4 x L 0 t E U n Z O Q i 9 B Y W 5 n Z X B h c 3 Q l M j B p d G V t J T I w d G 9 l Z 2 V 2 b 2 V n Z D Y w P C 9 J d G V t U G F 0 a D 4 8 L 0 l 0 Z W 1 M b 2 N h d G l v b j 4 8 U 3 R h Y m x l R W 5 0 c m l l c y A v P j w v S X R l b T 4 8 S X R l b T 4 8 S X R l b U x v Y 2 F 0 a W 9 u P j x J d G V t V H l w Z T 5 G b 3 J t d W x h P C 9 J d G V t V H l w Z T 4 8 S X R l b V B h d G g + U 2 V j d G l v b j E v S 0 R S d k 5 C L 0 F h b m d l c G F z d C U y M G l 0 Z W 0 l M j B 0 b 2 V n Z X Z v Z W d k N j E 8 L 0 l 0 Z W 1 Q Y X R o P j w v S X R l b U x v Y 2 F 0 a W 9 u P j x T d G F i b G V F b n R y a W V z I C 8 + P C 9 J d G V t P j x J d G V t P j x J d G V t T G 9 j Y X R p b 2 4 + P E l 0 Z W 1 U e X B l P k Z v c m 1 1 b G E 8 L 0 l 0 Z W 1 U e X B l P j x J d G V t U G F 0 a D 5 T Z W N 0 a W 9 u M S 9 L R F J 2 T k I v Q W F u Z 2 V w Y X N 0 J T I w a X R l b S U y M H R v Z W d l d m 9 l Z 2 Q 2 M j w v S X R l b V B h d G g + P C 9 J d G V t T G 9 j Y X R p b 2 4 + P F N 0 Y W J s Z U V u d H J p Z X M g L z 4 8 L 0 l 0 Z W 0 + P E l 0 Z W 0 + P E l 0 Z W 1 M b 2 N h d G l v b j 4 8 S X R l b V R 5 c G U + R m 9 y b X V s Y T w v S X R l b V R 5 c G U + P E l 0 Z W 1 Q Y X R o P l N l Y 3 R p b 2 4 x L 0 Z T R C 9 W b 2 9 y d 2 F h c m R l b G l q a 2 U l M j B r b 2 x v b S U y M G l u Z 2 V 2 b 2 V n Z D I w P C 9 J d G V t U G F 0 a D 4 8 L 0 l 0 Z W 1 M b 2 N h d G l v b j 4 8 U 3 R h Y m x l R W 5 0 c m l l c y A v P j w v S X R l b T 4 8 S X R l b T 4 8 S X R l b U x v Y 2 F 0 a W 9 u P j x J d G V t V H l w Z T 5 G b 3 J t d W x h P C 9 J d G V t V H l w Z T 4 8 S X R l b V B h d G g + U 2 V j d G l v b j E v R l N E L 1 Z v b 3 J 3 Y W F y Z G V s a W p r Z S U y M G t v b G 9 t J T I w a W 5 n Z X Z v Z W d k M j E 8 L 0 l 0 Z W 1 Q Y X R o P j w v S X R l b U x v Y 2 F 0 a W 9 u P j x T d G F i b G V F b n R y a W V z I C 8 + P C 9 J d G V t P j x J d G V t P j x J d G V t T G 9 j Y X R p b 2 4 + P E l 0 Z W 1 U e X B l P k Z v c m 1 1 b G E 8 L 0 l 0 Z W 1 U e X B l P j x J d G V t U G F 0 a D 5 T Z W N 0 a W 9 u M S 9 G U 0 Q v V m 9 v c n d h Y X J k Z W x p a m t l J T I w a 2 9 s b 2 0 l M j B p b m d l d m 9 l Z 2 Q y M j w v S X R l b V B h d G g + P C 9 J d G V t T G 9 j Y X R p b 2 4 + P F N 0 Y W J s Z U V u d H J p Z X M g L z 4 8 L 0 l 0 Z W 0 + P E l 0 Z W 0 + P E l 0 Z W 1 M b 2 N h d G l v b j 4 8 S X R l b V R 5 c G U + R m 9 y b X V s Y T w v S X R l b V R 5 c G U + P E l 0 Z W 1 Q Y X R o P l N l Y 3 R p b 2 4 x L 0 Z T R C 9 B Y W 5 n Z X B h c 3 Q l M j B p d G V t J T I w d G 9 l Z 2 V 2 b 2 V n Z D I z P C 9 J d G V t U G F 0 a D 4 8 L 0 l 0 Z W 1 M b 2 N h d G l v b j 4 8 U 3 R h Y m x l R W 5 0 c m l l c y A v P j w v S X R l b T 4 8 S X R l b T 4 8 S X R l b U x v Y 2 F 0 a W 9 u P j x J d G V t V H l w Z T 5 G b 3 J t d W x h P C 9 J d G V t V H l w Z T 4 8 S X R l b V B h d G g + U 2 V j d G l v b j E v R l N E L 1 Z v b 3 J 3 Y W F y Z G V s a W p r Z S U y M G t v b G 9 t J T I w a W 5 n Z X Z v Z W d k M j M 8 L 0 l 0 Z W 1 Q Y X R o P j w v S X R l b U x v Y 2 F 0 a W 9 u P j x T d G F i b G V F b n R y a W V z I C 8 + P C 9 J d G V t P j x J d G V t P j x J d G V t T G 9 j Y X R p b 2 4 + P E l 0 Z W 1 U e X B l P k Z v c m 1 1 b G E 8 L 0 l 0 Z W 1 U e X B l P j x J d G V t U G F 0 a D 5 T Z W N 0 a W 9 u M S 9 G U 0 Q v Q W F u Z 2 V w Y X N 0 J T I w a X R l b S U y M H R v Z W d l d m 9 l Z 2 Q y N D w v S X R l b V B h d G g + P C 9 J d G V t T G 9 j Y X R p b 2 4 + P F N 0 Y W J s Z U V u d H J p Z X M g L z 4 8 L 0 l 0 Z W 0 + P E l 0 Z W 0 + P E l 0 Z W 1 M b 2 N h d G l v b j 4 8 S X R l b V R 5 c G U + R m 9 y b X V s Y T w v S X R l b V R 5 c G U + P E l 0 Z W 1 Q Y X R o P l N l Y 3 R p b 2 4 x L 0 Z T R C 9 W b 2 9 y d 2 F h c m R l b G l q a 2 U l M j B r b 2 x v b S U y M G l u Z 2 V 2 b 2 V n Z D I 0 P C 9 J d G V t U G F 0 a D 4 8 L 0 l 0 Z W 1 M b 2 N h d G l v b j 4 8 U 3 R h Y m x l R W 5 0 c m l l c y A v P j w v S X R l b T 4 8 S X R l b T 4 8 S X R l b U x v Y 2 F 0 a W 9 u P j x J d G V t V H l w Z T 5 G b 3 J t d W x h P C 9 J d G V t V H l w Z T 4 8 S X R l b V B h d G g + U 2 V j d G l v b j E v R l N E L 0 F h b m d l c G F z d C U y M G l 0 Z W 0 l M j B 0 b 2 V n Z X Z v Z W d k M j U 8 L 0 l 0 Z W 1 Q Y X R o P j w v S X R l b U x v Y 2 F 0 a W 9 u P j x T d G F i b G V F b n R y a W V z I C 8 + P C 9 J d G V t P j x J d G V t P j x J d G V t T G 9 j Y X R p b 2 4 + P E l 0 Z W 1 U e X B l P k Z v c m 1 1 b G E 8 L 0 l 0 Z W 1 U e X B l P j x J d G V t U G F 0 a D 5 T Z W N 0 a W 9 u M S 9 G U 0 Q v V m 9 v c n d h Y X J k Z W x p a m t l J T I w a 2 9 s b 2 0 l M j B p b m d l d m 9 l Z 2 Q y N T w v S X R l b V B h d G g + P C 9 J d G V t T G 9 j Y X R p b 2 4 + P F N 0 Y W J s Z U V u d H J p Z X M g L z 4 8 L 0 l 0 Z W 0 + P E l 0 Z W 0 + P E l 0 Z W 1 M b 2 N h d G l v b j 4 8 S X R l b V R 5 c G U + R m 9 y b X V s Y T w v S X R l b V R 5 c G U + P E l 0 Z W 1 Q Y X R o P l N l Y 3 R p b 2 4 x L 0 Z T R C 9 B Y W 5 n Z X B h c 3 Q l M j B p d G V t J T I w d G 9 l Z 2 V 2 b 2 V n Z D I 2 P C 9 J d G V t U G F 0 a D 4 8 L 0 l 0 Z W 1 M b 2 N h d G l v b j 4 8 U 3 R h Y m x l R W 5 0 c m l l c y A v P j w v S X R l b T 4 8 S X R l b T 4 8 S X R l b U x v Y 2 F 0 a W 9 u P j x J d G V t V H l w Z T 5 G b 3 J t d W x h P C 9 J d G V t V H l w Z T 4 8 S X R l b V B h d G g + U 2 V j d G l v b j E v R l N E L 1 Z v b 3 J 3 Y W F y Z G V s a W p r Z S U y M G t v b G 9 t J T I w a W 5 n Z X Z v Z W d k M j Y 8 L 0 l 0 Z W 1 Q Y X R o P j w v S X R l b U x v Y 2 F 0 a W 9 u P j x T d G F i b G V F b n R y a W V z I C 8 + P C 9 J d G V t P j x J d G V t P j x J d G V t T G 9 j Y X R p b 2 4 + P E l 0 Z W 1 U e X B l P k Z v c m 1 1 b G E 8 L 0 l 0 Z W 1 U e X B l P j x J d G V t U G F 0 a D 5 T Z W N 0 a W 9 u M S 9 G U 0 Q v Q W F u Z 2 V w Y X N 0 J T I w a X R l b S U y M H R v Z W d l d m 9 l Z 2 Q y N z w v S X R l b V B h d G g + P C 9 J d G V t T G 9 j Y X R p b 2 4 + P F N 0 Y W J s Z U V u d H J p Z X M g L z 4 8 L 0 l 0 Z W 0 + P E l 0 Z W 0 + P E l 0 Z W 1 M b 2 N h d G l v b j 4 8 S X R l b V R 5 c G U + R m 9 y b X V s Y T w v S X R l b V R 5 c G U + P E l 0 Z W 1 Q Y X R o P l N l Y 3 R p b 2 4 x L 0 Z T R C 9 W b 2 9 y d 2 F h c m R l b G l q a 2 U l M j B r b 2 x v b S U y M G l u Z 2 V 2 b 2 V n Z D I 3 P C 9 J d G V t U G F 0 a D 4 8 L 0 l 0 Z W 1 M b 2 N h d G l v b j 4 8 U 3 R h Y m x l R W 5 0 c m l l c y A v P j w v S X R l b T 4 8 S X R l b T 4 8 S X R l b U x v Y 2 F 0 a W 9 u P j x J d G V t V H l w Z T 5 G b 3 J t d W x h P C 9 J d G V t V H l w Z T 4 8 S X R l b V B h d G g + U 2 V j d G l v b j E v R l N E L 1 Z v b 3 J 3 Y W F y Z G V s a W p r Z S U y M G t v b G 9 t J T I w a W 5 n Z X Z v Z W d k M j g 8 L 0 l 0 Z W 1 Q Y X R o P j w v S X R l b U x v Y 2 F 0 a W 9 u P j x T d G F i b G V F b n R y a W V z I C 8 + P C 9 J d G V t P j x J d G V t P j x J d G V t T G 9 j Y X R p b 2 4 + P E l 0 Z W 1 U e X B l P k Z v c m 1 1 b G E 8 L 0 l 0 Z W 1 U e X B l P j x J d G V t U G F 0 a D 5 T Z W N 0 a W 9 u M S 9 G U 0 Q v V m 9 v c n d h Y X J k Z W x p a m t l J T I w a 2 9 s b 2 0 l M j B p b m d l d m 9 l Z 2 Q y O T w v S X R l b V B h d G g + P C 9 J d G V t T G 9 j Y X R p b 2 4 + P F N 0 Y W J s Z U V u d H J p Z X M g L z 4 8 L 0 l 0 Z W 0 + P E l 0 Z W 0 + P E l 0 Z W 1 M b 2 N h d G l v b j 4 8 S X R l b V R 5 c G U + R m 9 y b X V s Y T w v S X R l b V R 5 c G U + P E l 0 Z W 1 Q Y X R o P l N l Y 3 R p b 2 4 x L 0 Z T R C 9 B Y W 5 n Z X B h c 3 Q l M j B p d G V t J T I w d G 9 l Z 2 V 2 b 2 V n Z D U 4 P C 9 J d G V t U G F 0 a D 4 8 L 0 l 0 Z W 1 M b 2 N h d G l v b j 4 8 U 3 R h Y m x l R W 5 0 c m l l c y A v P j w v S X R l b T 4 8 S X R l b T 4 8 S X R l b U x v Y 2 F 0 a W 9 u P j x J d G V t V H l w Z T 5 G b 3 J t d W x h P C 9 J d G V t V H l w Z T 4 8 S X R l b V B h d G g + U 2 V j d G l v b j E v R l N E L 0 F h b m d l c G F z d C U y M G l 0 Z W 0 l M j B 0 b 2 V n Z X Z v Z W d k N T k 8 L 0 l 0 Z W 1 Q Y X R o P j w v S X R l b U x v Y 2 F 0 a W 9 u P j x T d G F i b G V F b n R y a W V z I C 8 + P C 9 J d G V t P j x J d G V t P j x J d G V t T G 9 j Y X R p b 2 4 + P E l 0 Z W 1 U e X B l P k Z v c m 1 1 b G E 8 L 0 l 0 Z W 1 U e X B l P j x J d G V t U G F 0 a D 5 T Z W N 0 a W 9 u M S 9 G U 0 Q v Q W F u Z 2 V w Y X N 0 J T I w a X R l b S U y M H R v Z W d l d m 9 l Z 2 Q 2 M D w v S X R l b V B h d G g + P C 9 J d G V t T G 9 j Y X R p b 2 4 + P F N 0 Y W J s Z U V u d H J p Z X M g L z 4 8 L 0 l 0 Z W 0 + P E l 0 Z W 0 + P E l 0 Z W 1 M b 2 N h d G l v b j 4 8 S X R l b V R 5 c G U + R m 9 y b X V s Y T w v S X R l b V R 5 c G U + P E l 0 Z W 1 Q Y X R o P l N l Y 3 R p b 2 4 x L 0 Z T R C 9 B Y W 5 n Z X B h c 3 Q l M j B p d G V t J T I w d G 9 l Z 2 V 2 b 2 V n Z D Y x P C 9 J d G V t U G F 0 a D 4 8 L 0 l 0 Z W 1 M b 2 N h d G l v b j 4 8 U 3 R h Y m x l R W 5 0 c m l l c y A v P j w v S X R l b T 4 8 S X R l b T 4 8 S X R l b U x v Y 2 F 0 a W 9 u P j x J d G V t V H l w Z T 5 G b 3 J t d W x h P C 9 J d G V t V H l w Z T 4 8 S X R l b V B h d G g + U 2 V j d G l v b j E v R l N E L 0 F h b m d l c G F z d C U y M G l 0 Z W 0 l M j B 0 b 2 V n Z X Z v Z W d k N j I 8 L 0 l 0 Z W 1 Q Y X R o P j w v S X R l b U x v Y 2 F 0 a W 9 u P j x T d G F i b G V F b n R y a W V z I C 8 + P C 9 J d G V t P j x J d G V t P j x J d G V t T G 9 j Y X R p b 2 4 + P E l 0 Z W 1 U e X B l P k Z v c m 1 1 b G E 8 L 0 l 0 Z W 1 U e X B l P j x J d G V t U G F 0 a D 5 T Z W N 0 a W 9 u M S 9 L R E E 8 L 0 l 0 Z W 1 Q Y X R o P j w v S X R l b U x v Y 2 F 0 a W 9 u P j x T d G F i b G V F b n R y a W V z P j x F b n R y e S B U e X B l P S J J c 1 B y a X Z h d G U i I F Z h b H V l P S J s M C I g L z 4 8 R W 5 0 c n k g V H l w Z T 0 i T G 9 h Z F R v U m V w b 3 J 0 R G l z Y W J s Z W Q i I F Z h b H V l P S J s M C I g L z 4 8 R W 5 0 c n k g V H l w Z T 0 i R m l s b E V u Y W J s Z W Q i I F Z h b H V l P S J s M S I g L z 4 8 R W 5 0 c n k g V H l w Z T 0 i R m l s b E 9 i a m V j d F R 5 c G U i I F Z h b H V l P S J z V G F i b G U i I C 8 + P E V u d H J 5 I F R 5 c G U 9 I k Z p b G x U b 0 R h d G F N b 2 R l b E V u Y W J s Z W Q i I F Z h b H V l P S J s M C I g L z 4 8 R W 5 0 c n k g V H l w Z T 0 i U X V l c n l J R C I g V m F s d W U 9 I n M 3 Z W E w Y m U z Y S 0 0 N 2 U 3 L T Q x N G M t Y T l i Z i 1 i Y z U 2 Z T A 2 N z V j Y j I i I C 8 + P E V u d H J 5 I F R 5 c G U 9 I k 5 h b W V V c G R h d G V k Q W Z 0 Z X J G a W x s I i B W Y W x 1 Z T 0 i b D A i I C 8 + P E V u d H J 5 I F R 5 c G U 9 I l J l c 3 V s d F R 5 c G U i I F Z h b H V l P S J z V G F i b G U i I C 8 + P E V u d H J 5 I F R 5 c G U 9 I k Z p b G x U Y X J n Z X Q i I F Z h b H V l P S J z S 0 R B X y I g L z 4 8 R W 5 0 c n k g V H l w Z T 0 i R m l s b G V k Q 2 9 t c G x l d G V S Z X N 1 b H R U b 1 d v c m t z a G V l d C I g V m F s d W U 9 I m w x I i A v P j x F b n R y e S B U e X B l P S J C d W Z m Z X J O Z X h 0 U m V m c m V z a C I g V m F s d W U 9 I m w x I i A v P j x F b n R y e S B U e X B l P S J G a W x s R X J y b 3 J D b 3 V u d C I g V m F s d W U 9 I m w w I i A v P j x F b n R y e S B U e X B l P S J G a W x s T G F z d F V w Z G F 0 Z W Q i I F Z h b H V l P S J k M j A y N i 0 w M i 0 w O F Q x M D o x O D o z N y 4 x N D A w M j Q w W i I g L z 4 8 R W 5 0 c n k g V H l w Z T 0 i R m l s b E V y c m 9 y Q 2 9 k Z S I g V m F s d W U 9 I n N V b m t u b 3 d u I i A v P j x F b n R y e S B U e X B l P S J G a W x s Q 2 9 s d W 1 u V H l w Z X M i I F Z h b H V l P S J z Q m d Z R 0 J n W U d C Z 1 l E Q X d N R E F 3 T U R B d 0 1 E Q X d N R 0 F 3 T U R B d 0 1 E Q X d Z R E F 3 T U R B d 0 1 E Q m d Z R 0 J n Y 0 h C Z 1 l H Q m d Z R 0 F 3 W U d C Z 1 k 9 I i A v P j x F b n R y e S B U e X B l P S J G a W x s Q 2 9 s d W 1 u T m F t Z X M i I F Z h b H V l P S J z W y Z x d W 9 0 O 0 t y a W 5 n Z G F n J n F 1 b 3 Q 7 L C Z x d W 9 0 O 1 Z l c i 5 u c i 4 m c X V v d D s s J n F 1 b 3 Q 7 T m F h b S B 2 Z X J l b m l n a W 5 n J n F 1 b 3 Q 7 L C Z x d W 9 0 O 0 R l b G V n Y X R p Z S Z x d W 9 0 O y w m c X V v d D t N d X p p Z W t r b 3 J w c y B 0 a W p k Z W 5 z I G 1 h c n M g Z W 4 g Z G V m a W x c d T A w R T k m c X V v d D s s J n F 1 b 3 Q 7 R G V l b G 5 h b W U g a m V 1 Z 2 R r b 2 5 p b m d z Y 2 h p Z X R l b i Z x d W 9 0 O y w m c X V v d D t N Y W o u I F N l b m l v c m V u I G p 1 c m V y Z W 4 g Y m l q I G 1 h c n M m c X V v d D s s J n F 1 b 3 Q 7 T W F q L i B K Z X V n Z C B q d X J l c m V u I G J p a i B t Y X J z J n F 1 b 3 Q 7 L C Z x d W 9 0 O 0 t v c n B z I H N l b m l v c m V u J n F 1 b 3 Q 7 L C Z x d W 9 0 O 0 p 1 b m l v c m V u I G t v c n B z I D E m c X V v d D s s J n F 1 b 3 Q 7 S n V u a W 9 y Z W 4 g a 2 9 y c H M g M i Z x d W 9 0 O y w m c X V v d D t B c 3 B p c m F u d G V u I G t v c n B z I D E m c X V v d D s s J n F 1 b 3 Q 7 Q X N w a X J h b n R l b i B r b 3 J w c y A y J n F 1 b 3 Q 7 L C Z x d W 9 0 O 0 F j c m 9 i Y X R p c 2 N o I H N l b m l v c m V u J n F 1 b 3 Q 7 L C Z x d W 9 0 O 0 F j c m 9 i Y X R p c 2 N o I G p 1 b m l v c m V u J n F 1 b 3 Q 7 L C Z x d W 9 0 O 0 F j c m 9 i Y X R p c 2 N o I G F z c G l y Y W 5 0 Z W 4 m c X V v d D s s J n F 1 b 3 Q 7 T 3 B n Z X Z l b i B 2 Z W 5 k Z W x p Z X J z I G l u Z C 4 m c X V v d D s s J n F 1 b 3 Q 7 Q W N y b 2 I u I H N l b m l v c m V u I G l u Z G l 2 L i Z x d W 9 0 O y w m c X V v d D t B Y 3 J v Y i 4 g a n V u a W 9 y Z W 4 g a W 5 k a X Y u J n F 1 b 3 Q 7 L C Z x d W 9 0 O 0 F j c m 9 i L i B h c 3 B p c m F u d G V u I G l u Z G l 2 L i Z x d W 9 0 O y w m c X V v d D t E Z W V s b m F t Z S B o b 2 9 m Z G t v c n B z J n F 1 b 3 Q 7 L C Z x d W 9 0 O 0 d y b 2 V w Z W 4 s I H R l Y W 1 z L C B l b n N l b W J s Z X M g Z W 4 g Z H V v X H U w M D I 3 c y Z x d W 9 0 O y w m c X V v d D t B Y W 5 0 Y W w g b 3 B n Z W d l d m V u I G 1 h a m 9 y Z X R 0 Z X M m c X V v d D s s J n F 1 b 3 Q 7 T 3 B n Z X Z l b i B i a W V s Z W 1 h b m 5 l b i Z x d W 9 0 O y w m c X V v d D t T Z W 5 p b 3 J l b i Z x d W 9 0 O y w m c X V v d D t K b 2 5 n I F Z v b H d h c 3 N l b m U m c X V v d D s s J n F 1 b 3 Q 7 S n V u a W 9 y Z W 4 m c X V v d D s s J n F 1 b 3 Q 7 Q X N w a X J h b n R l b i Z x d W 9 0 O y w m c X V v d D t E Z W V s b m F t Z S B t Y X J r Z X R l b n R z d G V y c y Z x d W 9 0 O y w m c X V v d D t B Y W 5 0 Y W w g b H V j a H R n Z X d l Z X J z Y 2 h 1 d H R l c n M m c X V v d D s s J n F 1 b 3 Q 7 Q W F u d G F s I G x 1 Y 2 h 0 c G l z d G 9 v b H N j a H V 0 d G V y c y Z x d W 9 0 O y w m c X V v d D t B Y W 5 0 Y W w g a G F u Z G J v b 2 d z Y 2 h 1 d H R l c n M m c X V v d D s s J n F 1 b 3 Q 7 Q W F u d G F s I G t y d W l z Y m 9 v Z 3 N j a H V 0 d G V y c y Z x d W 9 0 O y w m c X V v d D s o Q W F u d G F s I G p l d W d k a 2 9 y c H N l b i Z x d W 9 0 O y w m c X V v d D t U b 3 R h Y W w g Y W F u d G F s I G R l Z W x u Z W 1 l c n M m c X V v d D s s J n F 1 b 3 Q 7 V 2 F h c n Z h b i B h Y W 5 0 Y W w g a m V 1 Z 2 Q g K H Q v b S A x N S B q Y W F y K S Z x d W 9 0 O y w m c X V v d D t L Y W 5 v b i B l d G M u J n F 1 b 3 Q 7 L C Z x d W 9 0 O 1 B h Y X J k Z W 4 g Z W 4 v b 2 Y g a 2 9 l d H N l b i Z x d W 9 0 O y w m c X V v d D t U b 2 V s a W N o d G l u Z y 9 v c G 1 l c m t p b m d l b i Z x d W 9 0 O y w m c X V v d D t J b n p l b m R p b m c t S U Q m c X V v d D s s J n F 1 b 3 Q 7 S W 5 6 Z W 5 k Z G F 0 d W 0 m c X V v d D s s J n F 1 b 3 Q 7 R G F 0 Z S B V c G R h d G V k J n F 1 b 3 Q 7 L C Z x d W 9 0 O 0 5 h Y W 0 g d m F u I G h l d C B o b 2 9 m Z G t v c n B z J n F 1 b 3 Q 7 L C Z x d W 9 0 O 1 p h b C B v c C B 0 c m V k Z W 4 g Y W x z I C h o b 2 9 m Z G t v c n B z K S Z x d W 9 0 O y w m c X V v d D t W b 3 J t I H Z h b i B 0 d 2 V l I G 1 1 e m l l a 3 d l c m t l b i A o a G 9 v Z m R r b 3 J w c y k m c X V v d D s s J n F 1 b 3 Q 7 W m F s I H V p d G t v b W V u I G l u I G R l O i A o a G 9 v Z m R r b 3 J w c y k m c X V v d D s s J n F 1 b 3 Q 7 T X V 6 a W V r d 2 V y a z E g K G h v b 2 Z k a 2 9 y c H M p J n F 1 b 3 Q 7 L C Z x d W 9 0 O 0 1 1 e m l l a 3 d l c m s y I C h o b 2 9 m Z G t v c n B z K S Z x d W 9 0 O y w m c X V v d D t L b 3 J w c y B i Z X N 0 Y W F 0 I H V p d C A u L i 4 g Z G V l b G 5 l b W V y c y A o a G 9 v Z m R r b 3 J w c y k m c X V v d D s s J n F 1 b 3 Q 7 V 2 9 y Z H Q g Z X I g Z 2 V i c n V p a y B n Z W 1 h Y W t 0 I H Z h b i B t Z W N o Y W 5 p c 2 N o Z S B t d X p p Z W s / J n F 1 b 3 Q 7 L C Z x d W 9 0 O 0 9 u Z G V y Z G V s Z W 4 m c X V v d D s s J n F 1 b 3 Q 7 U 2 V j d G l l c y Z x d W 9 0 O y w m c X V v d D t M Z W V m d G l q Z H N j Y X R l Z 2 9 y a W U m c X V v d D t d I i A v P j x F b n R y e S B U e X B l P S J G a W x s Q 2 9 1 b n Q i I F Z h b H V l P S J s M j E i I C 8 + P E V u d H J 5 I F R 5 c G U 9 I k F k Z G V k V G 9 E Y X R h T W 9 k Z W w i I F Z h b H V l P S J s M C I g L z 4 8 R W 5 0 c n k g V H l w Z T 0 i R m l s b F N 0 Y X R 1 c y I g V m F s d W U 9 I n N D b 2 1 w b G V 0 Z S I g L z 4 8 R W 5 0 c n k g V H l w Z T 0 i U m V s Y X R p b 2 5 z a G l w S W 5 m b 0 N v b n R h a W 5 l c i I g V m F s d W U 9 I n N 7 J n F 1 b 3 Q 7 Y 2 9 s d W 1 u Q 2 9 1 b n Q m c X V v d D s 6 N T M s J n F 1 b 3 Q 7 a 2 V 5 Q 2 9 s d W 1 u T m F t Z X M m c X V v d D s 6 W 1 0 s J n F 1 b 3 Q 7 c X V l c n l S Z W x h d G l v b n N o a X B z J n F 1 b 3 Q 7 O l t d L C Z x d W 9 0 O 2 N v b H V t b k l k Z W 5 0 a X R p Z X M m c X V v d D s 6 W y Z x d W 9 0 O 1 N l Y 3 R p b 2 4 x L 0 t E Q S 9 B d X R v U m V t b 3 Z l Z E N v b H V t b n M x L n t L c m l u Z 2 R h Z y w w f S Z x d W 9 0 O y w m c X V v d D t T Z W N 0 a W 9 u M S 9 L R E E v Q X V 0 b 1 J l b W 9 2 Z W R D b 2 x 1 b W 5 z M S 5 7 V m V y L m 5 y L i w x f S Z x d W 9 0 O y w m c X V v d D t T Z W N 0 a W 9 u M S 9 L R E E v Q X V 0 b 1 J l b W 9 2 Z W R D b 2 x 1 b W 5 z M S 5 7 T m F h b S B 2 Z X J l b m l n a W 5 n L D J 9 J n F 1 b 3 Q 7 L C Z x d W 9 0 O 1 N l Y 3 R p b 2 4 x L 0 t E Q S 9 B d X R v U m V t b 3 Z l Z E N v b H V t b n M x L n t E Z W x l Z 2 F 0 a W U s M 3 0 m c X V v d D s s J n F 1 b 3 Q 7 U 2 V j d G l v b j E v S 0 R B L 0 F 1 d G 9 S Z W 1 v d m V k Q 2 9 s d W 1 u c z E u e 0 1 1 e m l l a 2 t v c n B z I H R p a m R l b n M g b W F y c y B l b i B k Z W Z p b F x 1 M D B F O S w 0 f S Z x d W 9 0 O y w m c X V v d D t T Z W N 0 a W 9 u M S 9 L R E E v Q X V 0 b 1 J l b W 9 2 Z W R D b 2 x 1 b W 5 z M S 5 7 R G V l b G 5 h b W U g a m V 1 Z 2 R r b 2 5 p b m d z Y 2 h p Z X R l b i w 1 f S Z x d W 9 0 O y w m c X V v d D t T Z W N 0 a W 9 u M S 9 L R E E v Q X V 0 b 1 J l b W 9 2 Z W R D b 2 x 1 b W 5 z M S 5 7 T W F q L i B T Z W 5 p b 3 J l b i B q d X J l c m V u I G J p a i B t Y X J z L D Z 9 J n F 1 b 3 Q 7 L C Z x d W 9 0 O 1 N l Y 3 R p b 2 4 x L 0 t E Q S 9 B d X R v U m V t b 3 Z l Z E N v b H V t b n M x L n t N Y W o u I E p l d W d k I G p 1 c m V y Z W 4 g Y m l q I G 1 h c n M s N 3 0 m c X V v d D s s J n F 1 b 3 Q 7 U 2 V j d G l v b j E v S 0 R B L 0 F 1 d G 9 S Z W 1 v d m V k Q 2 9 s d W 1 u c z E u e 0 t v c n B z I H N l b m l v c m V u L D h 9 J n F 1 b 3 Q 7 L C Z x d W 9 0 O 1 N l Y 3 R p b 2 4 x L 0 t E Q S 9 B d X R v U m V t b 3 Z l Z E N v b H V t b n M x L n t K d W 5 p b 3 J l b i B r b 3 J w c y A x L D l 9 J n F 1 b 3 Q 7 L C Z x d W 9 0 O 1 N l Y 3 R p b 2 4 x L 0 t E Q S 9 B d X R v U m V t b 3 Z l Z E N v b H V t b n M x L n t K d W 5 p b 3 J l b i B r b 3 J w c y A y L D E w f S Z x d W 9 0 O y w m c X V v d D t T Z W N 0 a W 9 u M S 9 L R E E v Q X V 0 b 1 J l b W 9 2 Z W R D b 2 x 1 b W 5 z M S 5 7 Q X N w a X J h b n R l b i B r b 3 J w c y A x L D E x f S Z x d W 9 0 O y w m c X V v d D t T Z W N 0 a W 9 u M S 9 L R E E v Q X V 0 b 1 J l b W 9 2 Z W R D b 2 x 1 b W 5 z M S 5 7 Q X N w a X J h b n R l b i B r b 3 J w c y A y L D E y f S Z x d W 9 0 O y w m c X V v d D t T Z W N 0 a W 9 u M S 9 L R E E v Q X V 0 b 1 J l b W 9 2 Z W R D b 2 x 1 b W 5 z M S 5 7 Q W N y b 2 J h d G l z Y 2 g g c 2 V u a W 9 y Z W 4 s M T N 9 J n F 1 b 3 Q 7 L C Z x d W 9 0 O 1 N l Y 3 R p b 2 4 x L 0 t E Q S 9 B d X R v U m V t b 3 Z l Z E N v b H V t b n M x L n t B Y 3 J v Y m F 0 a X N j a C B q d W 5 p b 3 J l b i w x N H 0 m c X V v d D s s J n F 1 b 3 Q 7 U 2 V j d G l v b j E v S 0 R B L 0 F 1 d G 9 S Z W 1 v d m V k Q 2 9 s d W 1 u c z E u e 0 F j c m 9 i Y X R p c 2 N o I G F z c G l y Y W 5 0 Z W 4 s M T V 9 J n F 1 b 3 Q 7 L C Z x d W 9 0 O 1 N l Y 3 R p b 2 4 x L 0 t E Q S 9 B d X R v U m V t b 3 Z l Z E N v b H V t b n M x L n t P c G d l d m V u I H Z l b m R l b G l l c n M g a W 5 k L i w x N n 0 m c X V v d D s s J n F 1 b 3 Q 7 U 2 V j d G l v b j E v S 0 R B L 0 F 1 d G 9 S Z W 1 v d m V k Q 2 9 s d W 1 u c z E u e 0 F j c m 9 i L i B z Z W 5 p b 3 J l b i B p b m R p d i 4 s M T d 9 J n F 1 b 3 Q 7 L C Z x d W 9 0 O 1 N l Y 3 R p b 2 4 x L 0 t E Q S 9 B d X R v U m V t b 3 Z l Z E N v b H V t b n M x L n t B Y 3 J v Y i 4 g a n V u a W 9 y Z W 4 g a W 5 k a X Y u L D E 4 f S Z x d W 9 0 O y w m c X V v d D t T Z W N 0 a W 9 u M S 9 L R E E v Q X V 0 b 1 J l b W 9 2 Z W R D b 2 x 1 b W 5 z M S 5 7 Q W N y b 2 I u I G F z c G l y Y W 5 0 Z W 4 g a W 5 k a X Y u L D E 5 f S Z x d W 9 0 O y w m c X V v d D t T Z W N 0 a W 9 u M S 9 L R E E v Q X V 0 b 1 J l b W 9 2 Z W R D b 2 x 1 b W 5 z M S 5 7 R G V l b G 5 h b W U g a G 9 v Z m R r b 3 J w c y w y M H 0 m c X V v d D s s J n F 1 b 3 Q 7 U 2 V j d G l v b j E v S 0 R B L 0 F 1 d G 9 S Z W 1 v d m V k Q 2 9 s d W 1 u c z E u e 0 d y b 2 V w Z W 4 s I H R l Y W 1 z L C B l b n N l b W J s Z X M g Z W 4 g Z H V v X H U w M D I 3 c y w y M X 0 m c X V v d D s s J n F 1 b 3 Q 7 U 2 V j d G l v b j E v S 0 R B L 0 F 1 d G 9 S Z W 1 v d m V k Q 2 9 s d W 1 u c z E u e 0 F h b n R h b C B v c G d l Z 2 V 2 Z W 4 g b W F q b 3 J l d H R l c y w y M n 0 m c X V v d D s s J n F 1 b 3 Q 7 U 2 V j d G l v b j E v S 0 R B L 0 F 1 d G 9 S Z W 1 v d m V k Q 2 9 s d W 1 u c z E u e 0 9 w Z 2 V 2 Z W 4 g Y m l l b G V t Y W 5 u Z W 4 s M j N 9 J n F 1 b 3 Q 7 L C Z x d W 9 0 O 1 N l Y 3 R p b 2 4 x L 0 t E Q S 9 B d X R v U m V t b 3 Z l Z E N v b H V t b n M x L n t T Z W 5 p b 3 J l b i w y N H 0 m c X V v d D s s J n F 1 b 3 Q 7 U 2 V j d G l v b j E v S 0 R B L 0 F 1 d G 9 S Z W 1 v d m V k Q 2 9 s d W 1 u c z E u e 0 p v b m c g V m 9 s d 2 F z c 2 V u Z S w y N X 0 m c X V v d D s s J n F 1 b 3 Q 7 U 2 V j d G l v b j E v S 0 R B L 0 F 1 d G 9 S Z W 1 v d m V k Q 2 9 s d W 1 u c z E u e 0 p 1 b m l v c m V u L D I 2 f S Z x d W 9 0 O y w m c X V v d D t T Z W N 0 a W 9 u M S 9 L R E E v Q X V 0 b 1 J l b W 9 2 Z W R D b 2 x 1 b W 5 z M S 5 7 Q X N w a X J h b n R l b i w y N 3 0 m c X V v d D s s J n F 1 b 3 Q 7 U 2 V j d G l v b j E v S 0 R B L 0 F 1 d G 9 S Z W 1 v d m V k Q 2 9 s d W 1 u c z E u e 0 R l Z W x u Y W 1 l I G 1 h c m t l d G V u d H N 0 Z X J z L D I 4 f S Z x d W 9 0 O y w m c X V v d D t T Z W N 0 a W 9 u M S 9 L R E E v Q X V 0 b 1 J l b W 9 2 Z W R D b 2 x 1 b W 5 z M S 5 7 Q W F u d G F s I G x 1 Y 2 h 0 Z 2 V 3 Z W V y c 2 N o d X R 0 Z X J z L D I 5 f S Z x d W 9 0 O y w m c X V v d D t T Z W N 0 a W 9 u M S 9 L R E E v Q X V 0 b 1 J l b W 9 2 Z W R D b 2 x 1 b W 5 z M S 5 7 Q W F u d G F s I G x 1 Y 2 h 0 c G l z d G 9 v b H N j a H V 0 d G V y c y w z M H 0 m c X V v d D s s J n F 1 b 3 Q 7 U 2 V j d G l v b j E v S 0 R B L 0 F 1 d G 9 S Z W 1 v d m V k Q 2 9 s d W 1 u c z E u e 0 F h b n R h b C B o Y W 5 k Y m 9 v Z 3 N j a H V 0 d G V y c y w z M X 0 m c X V v d D s s J n F 1 b 3 Q 7 U 2 V j d G l v b j E v S 0 R B L 0 F 1 d G 9 S Z W 1 v d m V k Q 2 9 s d W 1 u c z E u e 0 F h b n R h b C B r c n V p c 2 J v b 2 d z Y 2 h 1 d H R l c n M s M z J 9 J n F 1 b 3 Q 7 L C Z x d W 9 0 O 1 N l Y 3 R p b 2 4 x L 0 t E Q S 9 B d X R v U m V t b 3 Z l Z E N v b H V t b n M x L n s o Q W F u d G F s I G p l d W d k a 2 9 y c H N l b i w z M 3 0 m c X V v d D s s J n F 1 b 3 Q 7 U 2 V j d G l v b j E v S 0 R B L 0 F 1 d G 9 S Z W 1 v d m V k Q 2 9 s d W 1 u c z E u e 1 R v d G F h b C B h Y W 5 0 Y W w g Z G V l b G 5 l b W V y c y w z N H 0 m c X V v d D s s J n F 1 b 3 Q 7 U 2 V j d G l v b j E v S 0 R B L 0 F 1 d G 9 S Z W 1 v d m V k Q 2 9 s d W 1 u c z E u e 1 d h Y X J 2 Y W 4 g Y W F u d G F s I G p l d W d k I C h 0 L 2 0 g M T U g a m F h c i k s M z V 9 J n F 1 b 3 Q 7 L C Z x d W 9 0 O 1 N l Y 3 R p b 2 4 x L 0 t E Q S 9 B d X R v U m V t b 3 Z l Z E N v b H V t b n M x L n t L Y W 5 v b i B l d G M u L D M 2 f S Z x d W 9 0 O y w m c X V v d D t T Z W N 0 a W 9 u M S 9 L R E E v Q X V 0 b 1 J l b W 9 2 Z W R D b 2 x 1 b W 5 z M S 5 7 U G F h c m R l b i B l b i 9 v Z i B r b 2 V 0 c 2 V u L D M 3 f S Z x d W 9 0 O y w m c X V v d D t T Z W N 0 a W 9 u M S 9 L R E E v Q X V 0 b 1 J l b W 9 2 Z W R D b 2 x 1 b W 5 z M S 5 7 V G 9 l b G l j a H R p b m c v b 3 B t Z X J r a W 5 n Z W 4 s M z h 9 J n F 1 b 3 Q 7 L C Z x d W 9 0 O 1 N l Y 3 R p b 2 4 x L 0 t E Q S 9 B d X R v U m V t b 3 Z l Z E N v b H V t b n M x L n t J b n p l b m R p b m c t S U Q s M z l 9 J n F 1 b 3 Q 7 L C Z x d W 9 0 O 1 N l Y 3 R p b 2 4 x L 0 t E Q S 9 B d X R v U m V t b 3 Z l Z E N v b H V t b n M x L n t J b n p l b m R k Y X R 1 b S w 0 M H 0 m c X V v d D s s J n F 1 b 3 Q 7 U 2 V j d G l v b j E v S 0 R B L 0 F 1 d G 9 S Z W 1 v d m V k Q 2 9 s d W 1 u c z E u e 0 R h d G U g V X B k Y X R l Z C w 0 M X 0 m c X V v d D s s J n F 1 b 3 Q 7 U 2 V j d G l v b j E v S 0 R B L 0 F 1 d G 9 S Z W 1 v d m V k Q 2 9 s d W 1 u c z E u e 0 5 h Y W 0 g d m F u I G h l d C B o b 2 9 m Z G t v c n B z L D Q y f S Z x d W 9 0 O y w m c X V v d D t T Z W N 0 a W 9 u M S 9 L R E E v Q X V 0 b 1 J l b W 9 2 Z W R D b 2 x 1 b W 5 z M S 5 7 W m F s I G 9 w I H R y Z W R l b i B h b H M g K G h v b 2 Z k a 2 9 y c H M p L D Q z f S Z x d W 9 0 O y w m c X V v d D t T Z W N 0 a W 9 u M S 9 L R E E v Q X V 0 b 1 J l b W 9 2 Z W R D b 2 x 1 b W 5 z M S 5 7 V m 9 y b S B 2 Y W 4 g d H d l Z S B t d X p p Z W t 3 Z X J r Z W 4 g K G h v b 2 Z k a 2 9 y c H M p L D Q 0 f S Z x d W 9 0 O y w m c X V v d D t T Z W N 0 a W 9 u M S 9 L R E E v Q X V 0 b 1 J l b W 9 2 Z W R D b 2 x 1 b W 5 z M S 5 7 W m F s I H V p d G t v b W V u I G l u I G R l O i A o a G 9 v Z m R r b 3 J w c y k s N D V 9 J n F 1 b 3 Q 7 L C Z x d W 9 0 O 1 N l Y 3 R p b 2 4 x L 0 t E Q S 9 B d X R v U m V t b 3 Z l Z E N v b H V t b n M x L n t N d X p p Z W t 3 Z X J r M S A o a G 9 v Z m R r b 3 J w c y k s N D Z 9 J n F 1 b 3 Q 7 L C Z x d W 9 0 O 1 N l Y 3 R p b 2 4 x L 0 t E Q S 9 B d X R v U m V t b 3 Z l Z E N v b H V t b n M x L n t N d X p p Z W t 3 Z X J r M i A o a G 9 v Z m R r b 3 J w c y k s N D d 9 J n F 1 b 3 Q 7 L C Z x d W 9 0 O 1 N l Y 3 R p b 2 4 x L 0 t E Q S 9 B d X R v U m V t b 3 Z l Z E N v b H V t b n M x L n t L b 3 J w c y B i Z X N 0 Y W F 0 I H V p d C A u L i 4 g Z G V l b G 5 l b W V y c y A o a G 9 v Z m R r b 3 J w c y k s N D h 9 J n F 1 b 3 Q 7 L C Z x d W 9 0 O 1 N l Y 3 R p b 2 4 x L 0 t E Q S 9 B d X R v U m V t b 3 Z l Z E N v b H V t b n M x L n t X b 3 J k d C B l c i B n Z W J y d W l r I G d l b W F h a 3 Q g d m F u I G 1 l Y 2 h h b m l z Y 2 h l I G 1 1 e m l l a z 8 s N D l 9 J n F 1 b 3 Q 7 L C Z x d W 9 0 O 1 N l Y 3 R p b 2 4 x L 0 t E Q S 9 B d X R v U m V t b 3 Z l Z E N v b H V t b n M x L n t P b m R l c m R l b G V u L D U w f S Z x d W 9 0 O y w m c X V v d D t T Z W N 0 a W 9 u M S 9 L R E E v Q X V 0 b 1 J l b W 9 2 Z W R D b 2 x 1 b W 5 z M S 5 7 U 2 V j d G l l c y w 1 M X 0 m c X V v d D s s J n F 1 b 3 Q 7 U 2 V j d G l v b j E v S 0 R B L 0 F 1 d G 9 S Z W 1 v d m V k Q 2 9 s d W 1 u c z E u e 0 x l Z W Z 0 a W p k c 2 N h d G V n b 3 J p Z S w 1 M n 0 m c X V v d D t d L C Z x d W 9 0 O 0 N v b H V t b k N v d W 5 0 J n F 1 b 3 Q 7 O j U z L C Z x d W 9 0 O 0 t l e U N v b H V t b k 5 h b W V z J n F 1 b 3 Q 7 O l t d L C Z x d W 9 0 O 0 N v b H V t b k l k Z W 5 0 a X R p Z X M m c X V v d D s 6 W y Z x d W 9 0 O 1 N l Y 3 R p b 2 4 x L 0 t E Q S 9 B d X R v U m V t b 3 Z l Z E N v b H V t b n M x L n t L c m l u Z 2 R h Z y w w f S Z x d W 9 0 O y w m c X V v d D t T Z W N 0 a W 9 u M S 9 L R E E v Q X V 0 b 1 J l b W 9 2 Z W R D b 2 x 1 b W 5 z M S 5 7 V m V y L m 5 y L i w x f S Z x d W 9 0 O y w m c X V v d D t T Z W N 0 a W 9 u M S 9 L R E E v Q X V 0 b 1 J l b W 9 2 Z W R D b 2 x 1 b W 5 z M S 5 7 T m F h b S B 2 Z X J l b m l n a W 5 n L D J 9 J n F 1 b 3 Q 7 L C Z x d W 9 0 O 1 N l Y 3 R p b 2 4 x L 0 t E Q S 9 B d X R v U m V t b 3 Z l Z E N v b H V t b n M x L n t E Z W x l Z 2 F 0 a W U s M 3 0 m c X V v d D s s J n F 1 b 3 Q 7 U 2 V j d G l v b j E v S 0 R B L 0 F 1 d G 9 S Z W 1 v d m V k Q 2 9 s d W 1 u c z E u e 0 1 1 e m l l a 2 t v c n B z I H R p a m R l b n M g b W F y c y B l b i B k Z W Z p b F x 1 M D B F O S w 0 f S Z x d W 9 0 O y w m c X V v d D t T Z W N 0 a W 9 u M S 9 L R E E v Q X V 0 b 1 J l b W 9 2 Z W R D b 2 x 1 b W 5 z M S 5 7 R G V l b G 5 h b W U g a m V 1 Z 2 R r b 2 5 p b m d z Y 2 h p Z X R l b i w 1 f S Z x d W 9 0 O y w m c X V v d D t T Z W N 0 a W 9 u M S 9 L R E E v Q X V 0 b 1 J l b W 9 2 Z W R D b 2 x 1 b W 5 z M S 5 7 T W F q L i B T Z W 5 p b 3 J l b i B q d X J l c m V u I G J p a i B t Y X J z L D Z 9 J n F 1 b 3 Q 7 L C Z x d W 9 0 O 1 N l Y 3 R p b 2 4 x L 0 t E Q S 9 B d X R v U m V t b 3 Z l Z E N v b H V t b n M x L n t N Y W o u I E p l d W d k I G p 1 c m V y Z W 4 g Y m l q I G 1 h c n M s N 3 0 m c X V v d D s s J n F 1 b 3 Q 7 U 2 V j d G l v b j E v S 0 R B L 0 F 1 d G 9 S Z W 1 v d m V k Q 2 9 s d W 1 u c z E u e 0 t v c n B z I H N l b m l v c m V u L D h 9 J n F 1 b 3 Q 7 L C Z x d W 9 0 O 1 N l Y 3 R p b 2 4 x L 0 t E Q S 9 B d X R v U m V t b 3 Z l Z E N v b H V t b n M x L n t K d W 5 p b 3 J l b i B r b 3 J w c y A x L D l 9 J n F 1 b 3 Q 7 L C Z x d W 9 0 O 1 N l Y 3 R p b 2 4 x L 0 t E Q S 9 B d X R v U m V t b 3 Z l Z E N v b H V t b n M x L n t K d W 5 p b 3 J l b i B r b 3 J w c y A y L D E w f S Z x d W 9 0 O y w m c X V v d D t T Z W N 0 a W 9 u M S 9 L R E E v Q X V 0 b 1 J l b W 9 2 Z W R D b 2 x 1 b W 5 z M S 5 7 Q X N w a X J h b n R l b i B r b 3 J w c y A x L D E x f S Z x d W 9 0 O y w m c X V v d D t T Z W N 0 a W 9 u M S 9 L R E E v Q X V 0 b 1 J l b W 9 2 Z W R D b 2 x 1 b W 5 z M S 5 7 Q X N w a X J h b n R l b i B r b 3 J w c y A y L D E y f S Z x d W 9 0 O y w m c X V v d D t T Z W N 0 a W 9 u M S 9 L R E E v Q X V 0 b 1 J l b W 9 2 Z W R D b 2 x 1 b W 5 z M S 5 7 Q W N y b 2 J h d G l z Y 2 g g c 2 V u a W 9 y Z W 4 s M T N 9 J n F 1 b 3 Q 7 L C Z x d W 9 0 O 1 N l Y 3 R p b 2 4 x L 0 t E Q S 9 B d X R v U m V t b 3 Z l Z E N v b H V t b n M x L n t B Y 3 J v Y m F 0 a X N j a C B q d W 5 p b 3 J l b i w x N H 0 m c X V v d D s s J n F 1 b 3 Q 7 U 2 V j d G l v b j E v S 0 R B L 0 F 1 d G 9 S Z W 1 v d m V k Q 2 9 s d W 1 u c z E u e 0 F j c m 9 i Y X R p c 2 N o I G F z c G l y Y W 5 0 Z W 4 s M T V 9 J n F 1 b 3 Q 7 L C Z x d W 9 0 O 1 N l Y 3 R p b 2 4 x L 0 t E Q S 9 B d X R v U m V t b 3 Z l Z E N v b H V t b n M x L n t P c G d l d m V u I H Z l b m R l b G l l c n M g a W 5 k L i w x N n 0 m c X V v d D s s J n F 1 b 3 Q 7 U 2 V j d G l v b j E v S 0 R B L 0 F 1 d G 9 S Z W 1 v d m V k Q 2 9 s d W 1 u c z E u e 0 F j c m 9 i L i B z Z W 5 p b 3 J l b i B p b m R p d i 4 s M T d 9 J n F 1 b 3 Q 7 L C Z x d W 9 0 O 1 N l Y 3 R p b 2 4 x L 0 t E Q S 9 B d X R v U m V t b 3 Z l Z E N v b H V t b n M x L n t B Y 3 J v Y i 4 g a n V u a W 9 y Z W 4 g a W 5 k a X Y u L D E 4 f S Z x d W 9 0 O y w m c X V v d D t T Z W N 0 a W 9 u M S 9 L R E E v Q X V 0 b 1 J l b W 9 2 Z W R D b 2 x 1 b W 5 z M S 5 7 Q W N y b 2 I u I G F z c G l y Y W 5 0 Z W 4 g a W 5 k a X Y u L D E 5 f S Z x d W 9 0 O y w m c X V v d D t T Z W N 0 a W 9 u M S 9 L R E E v Q X V 0 b 1 J l b W 9 2 Z W R D b 2 x 1 b W 5 z M S 5 7 R G V l b G 5 h b W U g a G 9 v Z m R r b 3 J w c y w y M H 0 m c X V v d D s s J n F 1 b 3 Q 7 U 2 V j d G l v b j E v S 0 R B L 0 F 1 d G 9 S Z W 1 v d m V k Q 2 9 s d W 1 u c z E u e 0 d y b 2 V w Z W 4 s I H R l Y W 1 z L C B l b n N l b W J s Z X M g Z W 4 g Z H V v X H U w M D I 3 c y w y M X 0 m c X V v d D s s J n F 1 b 3 Q 7 U 2 V j d G l v b j E v S 0 R B L 0 F 1 d G 9 S Z W 1 v d m V k Q 2 9 s d W 1 u c z E u e 0 F h b n R h b C B v c G d l Z 2 V 2 Z W 4 g b W F q b 3 J l d H R l c y w y M n 0 m c X V v d D s s J n F 1 b 3 Q 7 U 2 V j d G l v b j E v S 0 R B L 0 F 1 d G 9 S Z W 1 v d m V k Q 2 9 s d W 1 u c z E u e 0 9 w Z 2 V 2 Z W 4 g Y m l l b G V t Y W 5 u Z W 4 s M j N 9 J n F 1 b 3 Q 7 L C Z x d W 9 0 O 1 N l Y 3 R p b 2 4 x L 0 t E Q S 9 B d X R v U m V t b 3 Z l Z E N v b H V t b n M x L n t T Z W 5 p b 3 J l b i w y N H 0 m c X V v d D s s J n F 1 b 3 Q 7 U 2 V j d G l v b j E v S 0 R B L 0 F 1 d G 9 S Z W 1 v d m V k Q 2 9 s d W 1 u c z E u e 0 p v b m c g V m 9 s d 2 F z c 2 V u Z S w y N X 0 m c X V v d D s s J n F 1 b 3 Q 7 U 2 V j d G l v b j E v S 0 R B L 0 F 1 d G 9 S Z W 1 v d m V k Q 2 9 s d W 1 u c z E u e 0 p 1 b m l v c m V u L D I 2 f S Z x d W 9 0 O y w m c X V v d D t T Z W N 0 a W 9 u M S 9 L R E E v Q X V 0 b 1 J l b W 9 2 Z W R D b 2 x 1 b W 5 z M S 5 7 Q X N w a X J h b n R l b i w y N 3 0 m c X V v d D s s J n F 1 b 3 Q 7 U 2 V j d G l v b j E v S 0 R B L 0 F 1 d G 9 S Z W 1 v d m V k Q 2 9 s d W 1 u c z E u e 0 R l Z W x u Y W 1 l I G 1 h c m t l d G V u d H N 0 Z X J z L D I 4 f S Z x d W 9 0 O y w m c X V v d D t T Z W N 0 a W 9 u M S 9 L R E E v Q X V 0 b 1 J l b W 9 2 Z W R D b 2 x 1 b W 5 z M S 5 7 Q W F u d G F s I G x 1 Y 2 h 0 Z 2 V 3 Z W V y c 2 N o d X R 0 Z X J z L D I 5 f S Z x d W 9 0 O y w m c X V v d D t T Z W N 0 a W 9 u M S 9 L R E E v Q X V 0 b 1 J l b W 9 2 Z W R D b 2 x 1 b W 5 z M S 5 7 Q W F u d G F s I G x 1 Y 2 h 0 c G l z d G 9 v b H N j a H V 0 d G V y c y w z M H 0 m c X V v d D s s J n F 1 b 3 Q 7 U 2 V j d G l v b j E v S 0 R B L 0 F 1 d G 9 S Z W 1 v d m V k Q 2 9 s d W 1 u c z E u e 0 F h b n R h b C B o Y W 5 k Y m 9 v Z 3 N j a H V 0 d G V y c y w z M X 0 m c X V v d D s s J n F 1 b 3 Q 7 U 2 V j d G l v b j E v S 0 R B L 0 F 1 d G 9 S Z W 1 v d m V k Q 2 9 s d W 1 u c z E u e 0 F h b n R h b C B r c n V p c 2 J v b 2 d z Y 2 h 1 d H R l c n M s M z J 9 J n F 1 b 3 Q 7 L C Z x d W 9 0 O 1 N l Y 3 R p b 2 4 x L 0 t E Q S 9 B d X R v U m V t b 3 Z l Z E N v b H V t b n M x L n s o Q W F u d G F s I G p l d W d k a 2 9 y c H N l b i w z M 3 0 m c X V v d D s s J n F 1 b 3 Q 7 U 2 V j d G l v b j E v S 0 R B L 0 F 1 d G 9 S Z W 1 v d m V k Q 2 9 s d W 1 u c z E u e 1 R v d G F h b C B h Y W 5 0 Y W w g Z G V l b G 5 l b W V y c y w z N H 0 m c X V v d D s s J n F 1 b 3 Q 7 U 2 V j d G l v b j E v S 0 R B L 0 F 1 d G 9 S Z W 1 v d m V k Q 2 9 s d W 1 u c z E u e 1 d h Y X J 2 Y W 4 g Y W F u d G F s I G p l d W d k I C h 0 L 2 0 g M T U g a m F h c i k s M z V 9 J n F 1 b 3 Q 7 L C Z x d W 9 0 O 1 N l Y 3 R p b 2 4 x L 0 t E Q S 9 B d X R v U m V t b 3 Z l Z E N v b H V t b n M x L n t L Y W 5 v b i B l d G M u L D M 2 f S Z x d W 9 0 O y w m c X V v d D t T Z W N 0 a W 9 u M S 9 L R E E v Q X V 0 b 1 J l b W 9 2 Z W R D b 2 x 1 b W 5 z M S 5 7 U G F h c m R l b i B l b i 9 v Z i B r b 2 V 0 c 2 V u L D M 3 f S Z x d W 9 0 O y w m c X V v d D t T Z W N 0 a W 9 u M S 9 L R E E v Q X V 0 b 1 J l b W 9 2 Z W R D b 2 x 1 b W 5 z M S 5 7 V G 9 l b G l j a H R p b m c v b 3 B t Z X J r a W 5 n Z W 4 s M z h 9 J n F 1 b 3 Q 7 L C Z x d W 9 0 O 1 N l Y 3 R p b 2 4 x L 0 t E Q S 9 B d X R v U m V t b 3 Z l Z E N v b H V t b n M x L n t J b n p l b m R p b m c t S U Q s M z l 9 J n F 1 b 3 Q 7 L C Z x d W 9 0 O 1 N l Y 3 R p b 2 4 x L 0 t E Q S 9 B d X R v U m V t b 3 Z l Z E N v b H V t b n M x L n t J b n p l b m R k Y X R 1 b S w 0 M H 0 m c X V v d D s s J n F 1 b 3 Q 7 U 2 V j d G l v b j E v S 0 R B L 0 F 1 d G 9 S Z W 1 v d m V k Q 2 9 s d W 1 u c z E u e 0 R h d G U g V X B k Y X R l Z C w 0 M X 0 m c X V v d D s s J n F 1 b 3 Q 7 U 2 V j d G l v b j E v S 0 R B L 0 F 1 d G 9 S Z W 1 v d m V k Q 2 9 s d W 1 u c z E u e 0 5 h Y W 0 g d m F u I G h l d C B o b 2 9 m Z G t v c n B z L D Q y f S Z x d W 9 0 O y w m c X V v d D t T Z W N 0 a W 9 u M S 9 L R E E v Q X V 0 b 1 J l b W 9 2 Z W R D b 2 x 1 b W 5 z M S 5 7 W m F s I G 9 w I H R y Z W R l b i B h b H M g K G h v b 2 Z k a 2 9 y c H M p L D Q z f S Z x d W 9 0 O y w m c X V v d D t T Z W N 0 a W 9 u M S 9 L R E E v Q X V 0 b 1 J l b W 9 2 Z W R D b 2 x 1 b W 5 z M S 5 7 V m 9 y b S B 2 Y W 4 g d H d l Z S B t d X p p Z W t 3 Z X J r Z W 4 g K G h v b 2 Z k a 2 9 y c H M p L D Q 0 f S Z x d W 9 0 O y w m c X V v d D t T Z W N 0 a W 9 u M S 9 L R E E v Q X V 0 b 1 J l b W 9 2 Z W R D b 2 x 1 b W 5 z M S 5 7 W m F s I H V p d G t v b W V u I G l u I G R l O i A o a G 9 v Z m R r b 3 J w c y k s N D V 9 J n F 1 b 3 Q 7 L C Z x d W 9 0 O 1 N l Y 3 R p b 2 4 x L 0 t E Q S 9 B d X R v U m V t b 3 Z l Z E N v b H V t b n M x L n t N d X p p Z W t 3 Z X J r M S A o a G 9 v Z m R r b 3 J w c y k s N D Z 9 J n F 1 b 3 Q 7 L C Z x d W 9 0 O 1 N l Y 3 R p b 2 4 x L 0 t E Q S 9 B d X R v U m V t b 3 Z l Z E N v b H V t b n M x L n t N d X p p Z W t 3 Z X J r M i A o a G 9 v Z m R r b 3 J w c y k s N D d 9 J n F 1 b 3 Q 7 L C Z x d W 9 0 O 1 N l Y 3 R p b 2 4 x L 0 t E Q S 9 B d X R v U m V t b 3 Z l Z E N v b H V t b n M x L n t L b 3 J w c y B i Z X N 0 Y W F 0 I H V p d C A u L i 4 g Z G V l b G 5 l b W V y c y A o a G 9 v Z m R r b 3 J w c y k s N D h 9 J n F 1 b 3 Q 7 L C Z x d W 9 0 O 1 N l Y 3 R p b 2 4 x L 0 t E Q S 9 B d X R v U m V t b 3 Z l Z E N v b H V t b n M x L n t X b 3 J k d C B l c i B n Z W J y d W l r I G d l b W F h a 3 Q g d m F u I G 1 l Y 2 h h b m l z Y 2 h l I G 1 1 e m l l a z 8 s N D l 9 J n F 1 b 3 Q 7 L C Z x d W 9 0 O 1 N l Y 3 R p b 2 4 x L 0 t E Q S 9 B d X R v U m V t b 3 Z l Z E N v b H V t b n M x L n t P b m R l c m R l b G V u L D U w f S Z x d W 9 0 O y w m c X V v d D t T Z W N 0 a W 9 u M S 9 L R E E v Q X V 0 b 1 J l b W 9 2 Z W R D b 2 x 1 b W 5 z M S 5 7 U 2 V j d G l l c y w 1 M X 0 m c X V v d D s s J n F 1 b 3 Q 7 U 2 V j d G l v b j E v S 0 R B L 0 F 1 d G 9 S Z W 1 v d m V k Q 2 9 s d W 1 u c z E u e 0 x l Z W Z 0 a W p k c 2 N h d G V n b 3 J p Z S w 1 M n 0 m c X V v d D t d L C Z x d W 9 0 O 1 J l b G F 0 a W 9 u c 2 h p c E l u Z m 8 m c X V v d D s 6 W 1 1 9 I i A v P j w v U 3 R h Y m x l R W 5 0 c m l l c z 4 8 L 0 l 0 Z W 0 + P E l 0 Z W 0 + P E l 0 Z W 1 M b 2 N h d G l v b j 4 8 S X R l b V R 5 c G U + R m 9 y b X V s Y T w v S X R l b V R 5 c G U + P E l 0 Z W 1 Q Y X R o P l N l Y 3 R p b 2 4 x L 0 t E Q S 9 C c m 9 u P C 9 J d G V t U G F 0 a D 4 8 L 0 l 0 Z W 1 M b 2 N h d G l v b j 4 8 U 3 R h Y m x l R W 5 0 c m l l c y A v P j w v S X R l b T 4 8 S X R l b T 4 8 S X R l b U x v Y 2 F 0 a W 9 u P j x J d G V t V H l w Z T 5 G b 3 J t d W x h P C 9 J d G V t V H l w Z T 4 8 S X R l b V B h d G g + U 2 V j d G l v b j E v S 0 R B L 0 h l Y W R l c n M l M j B t Z X Q l M j B 2 Z X J o b 2 9 n Z C U y M G 5 p d m V h d T w v S X R l b V B h d G g + P C 9 J d G V t T G 9 j Y X R p b 2 4 + P F N 0 Y W J s Z U V u d H J p Z X M g L z 4 8 L 0 l 0 Z W 0 + P E l 0 Z W 0 + P E l 0 Z W 1 M b 2 N h d G l v b j 4 8 S X R l b V R 5 c G U + R m 9 y b X V s Y T w v S X R l b V R 5 c G U + P E l 0 Z W 1 Q Y X R o P l N l Y 3 R p b 2 4 x L 0 t E Q S 9 I Z X Q l M j B r b 2 x v b X R 5 c G U l M j B p c y U y M G d l d 2 l q e m l n Z D w v S X R l b V B h d G g + P C 9 J d G V t T G 9 j Y X R p b 2 4 + P F N 0 Y W J s Z U V u d H J p Z X M g L z 4 8 L 0 l 0 Z W 0 + P E l 0 Z W 0 + P E l 0 Z W 1 M b 2 N h d G l v b j 4 8 S X R l b V R 5 c G U + R m 9 y b X V s Y T w v S X R l b V R 5 c G U + P E l 0 Z W 1 Q Y X R o P l N l Y 3 R p b 2 4 x L 0 t E Q S 9 B Y W 5 n Z X B h c 3 Q l M j B p d G V t J T I w d G 9 l Z 2 V 2 b 2 V n Z D w v S X R l b V B h d G g + P C 9 J d G V t T G 9 j Y X R p b 2 4 + P F N 0 Y W J s Z U V u d H J p Z X M g L z 4 8 L 0 l 0 Z W 0 + P E l 0 Z W 0 + P E l 0 Z W 1 M b 2 N h d G l v b j 4 8 S X R l b V R 5 c G U + R m 9 y b X V s Y T w v S X R l b V R 5 c G U + P E l 0 Z W 1 Q Y X R o P l N l Y 3 R p b 2 4 x L 0 t E Q S 9 W b 2 9 y d 2 F h c m R l b G l q a 2 U l M j B r b 2 x v b S U y M G l u Z 2 V 2 b 2 V n Z D w v S X R l b V B h d G g + P C 9 J d G V t T G 9 j Y X R p b 2 4 + P F N 0 Y W J s Z U V u d H J p Z X M g L z 4 8 L 0 l 0 Z W 0 + P E l 0 Z W 0 + P E l 0 Z W 1 M b 2 N h d G l v b j 4 8 S X R l b V R 5 c G U + R m 9 y b X V s Y T w v S X R l b V R 5 c G U + P E l 0 Z W 1 Q Y X R o P l N l Y 3 R p b 2 4 x L 0 t E Q S 9 B Y W 5 n Z X B h c 3 Q l M j B p d G V t J T I w d G 9 l Z 2 V 2 b 2 V n Z D E 8 L 0 l 0 Z W 1 Q Y X R o P j w v S X R l b U x v Y 2 F 0 a W 9 u P j x T d G F i b G V F b n R y a W V z I C 8 + P C 9 J d G V t P j x J d G V t P j x J d G V t T G 9 j Y X R p b 2 4 + P E l 0 Z W 1 U e X B l P k Z v c m 1 1 b G E 8 L 0 l 0 Z W 1 U e X B l P j x J d G V t U G F 0 a D 5 T Z W N 0 a W 9 u M S 9 L R E E v V m 9 v c n d h Y X J k Z W x p a m t l J T I w a 2 9 s b 2 0 l M j B p b m d l d m 9 l Z 2 Q x P C 9 J d G V t U G F 0 a D 4 8 L 0 l 0 Z W 1 M b 2 N h d G l v b j 4 8 U 3 R h Y m x l R W 5 0 c m l l c y A v P j w v S X R l b T 4 8 S X R l b T 4 8 S X R l b U x v Y 2 F 0 a W 9 u P j x J d G V t V H l w Z T 5 G b 3 J t d W x h P C 9 J d G V t V H l w Z T 4 8 S X R l b V B h d G g + U 2 V j d G l v b j E v S 0 R B L 0 F h b m d l c G F z d C U y M G l 0 Z W 0 l M j B 0 b 2 V n Z X Z v Z W d k M j w v S X R l b V B h d G g + P C 9 J d G V t T G 9 j Y X R p b 2 4 + P F N 0 Y W J s Z U V u d H J p Z X M g L z 4 8 L 0 l 0 Z W 0 + P E l 0 Z W 0 + P E l 0 Z W 1 M b 2 N h d G l v b j 4 8 S X R l b V R 5 c G U + R m 9 y b X V s Y T w v S X R l b V R 5 c G U + P E l 0 Z W 1 Q Y X R o P l N l Y 3 R p b 2 4 x L 0 t E Q S 9 W b 2 9 y d 2 F h c m R l b G l q a 2 U l M j B r b 2 x v b S U y M G l u Z 2 V 2 b 2 V n Z D I 8 L 0 l 0 Z W 1 Q Y X R o P j w v S X R l b U x v Y 2 F 0 a W 9 u P j x T d G F i b G V F b n R y a W V z I C 8 + P C 9 J d G V t P j x J d G V t P j x J d G V t T G 9 j Y X R p b 2 4 + P E l 0 Z W 1 U e X B l P k Z v c m 1 1 b G E 8 L 0 l 0 Z W 1 U e X B l P j x J d G V t U G F 0 a D 5 T Z W N 0 a W 9 u M S 9 L R E E v Q W F u Z 2 V w Y X N 0 J T I w a X R l b S U y M H R v Z W d l d m 9 l Z 2 Q z P C 9 J d G V t U G F 0 a D 4 8 L 0 l 0 Z W 1 M b 2 N h d G l v b j 4 8 U 3 R h Y m x l R W 5 0 c m l l c y A v P j w v S X R l b T 4 8 S X R l b T 4 8 S X R l b U x v Y 2 F 0 a W 9 u P j x J d G V t V H l w Z T 5 G b 3 J t d W x h P C 9 J d G V t V H l w Z T 4 8 S X R l b V B h d G g + U 2 V j d G l v b j E v S 0 R B L 1 Z v b 3 J 3 Y W F y Z G V s a W p r Z S U y M G t v b G 9 t J T I w a W 5 n Z X Z v Z W d k M z w v S X R l b V B h d G g + P C 9 J d G V t T G 9 j Y X R p b 2 4 + P F N 0 Y W J s Z U V u d H J p Z X M g L z 4 8 L 0 l 0 Z W 0 + P E l 0 Z W 0 + P E l 0 Z W 1 M b 2 N h d G l v b j 4 8 S X R l b V R 5 c G U + R m 9 y b X V s Y T w v S X R l b V R 5 c G U + P E l 0 Z W 1 Q Y X R o P l N l Y 3 R p b 2 4 x L 0 t E Q S 9 B Y W 5 n Z X B h c 3 Q l M j B p d G V t J T I w d G 9 l Z 2 V 2 b 2 V n Z D Q 8 L 0 l 0 Z W 1 Q Y X R o P j w v S X R l b U x v Y 2 F 0 a W 9 u P j x T d G F i b G V F b n R y a W V z I C 8 + P C 9 J d G V t P j x J d G V t P j x J d G V t T G 9 j Y X R p b 2 4 + P E l 0 Z W 1 U e X B l P k Z v c m 1 1 b G E 8 L 0 l 0 Z W 1 U e X B l P j x J d G V t U G F 0 a D 5 T Z W N 0 a W 9 u M S 9 L R E E v V m 9 v c n d h Y X J k Z W x p a m t l J T I w a 2 9 s b 2 0 l M j B p b m d l d m 9 l Z 2 Q 0 P C 9 J d G V t U G F 0 a D 4 8 L 0 l 0 Z W 1 M b 2 N h d G l v b j 4 8 U 3 R h Y m x l R W 5 0 c m l l c y A v P j w v S X R l b T 4 8 S X R l b T 4 8 S X R l b U x v Y 2 F 0 a W 9 u P j x J d G V t V H l w Z T 5 G b 3 J t d W x h P C 9 J d G V t V H l w Z T 4 8 S X R l b V B h d G g + U 2 V j d G l v b j E v S 0 R B L 0 F h b m d l c G F z d C U y M G l 0 Z W 0 l M j B 0 b 2 V n Z X Z v Z W d k N T w v S X R l b V B h d G g + P C 9 J d G V t T G 9 j Y X R p b 2 4 + P F N 0 Y W J s Z U V u d H J p Z X M g L z 4 8 L 0 l 0 Z W 0 + P E l 0 Z W 0 + P E l 0 Z W 1 M b 2 N h d G l v b j 4 8 S X R l b V R 5 c G U + R m 9 y b X V s Y T w v S X R l b V R 5 c G U + P E l 0 Z W 1 Q Y X R o P l N l Y 3 R p b 2 4 x L 0 t E Q S 9 W b 2 9 y d 2 F h c m R l b G l q a 2 U l M j B r b 2 x v b S U y M G l u Z 2 V 2 b 2 V n Z D U 8 L 0 l 0 Z W 1 Q Y X R o P j w v S X R l b U x v Y 2 F 0 a W 9 u P j x T d G F i b G V F b n R y a W V z I C 8 + P C 9 J d G V t P j x J d G V t P j x J d G V t T G 9 j Y X R p b 2 4 + P E l 0 Z W 1 U e X B l P k Z v c m 1 1 b G E 8 L 0 l 0 Z W 1 U e X B l P j x J d G V t U G F 0 a D 5 T Z W N 0 a W 9 u M S 9 L R E E v Q W F u Z 2 V w Y X N 0 J T I w a X R l b S U y M H R v Z W d l d m 9 l Z 2 Q 2 P C 9 J d G V t U G F 0 a D 4 8 L 0 l 0 Z W 1 M b 2 N h d G l v b j 4 8 U 3 R h Y m x l R W 5 0 c m l l c y A v P j w v S X R l b T 4 8 S X R l b T 4 8 S X R l b U x v Y 2 F 0 a W 9 u P j x J d G V t V H l w Z T 5 G b 3 J t d W x h P C 9 J d G V t V H l w Z T 4 8 S X R l b V B h d G g + U 2 V j d G l v b j E v S 0 R B L 1 Z v b 3 J 3 Y W F y Z G V s a W p r Z S U y M G t v b G 9 t J T I w a W 5 n Z X Z v Z W d k N j w v S X R l b V B h d G g + P C 9 J d G V t T G 9 j Y X R p b 2 4 + P F N 0 Y W J s Z U V u d H J p Z X M g L z 4 8 L 0 l 0 Z W 0 + P E l 0 Z W 0 + P E l 0 Z W 1 M b 2 N h d G l v b j 4 8 S X R l b V R 5 c G U + R m 9 y b X V s Y T w v S X R l b V R 5 c G U + P E l 0 Z W 1 Q Y X R o P l N l Y 3 R p b 2 4 x L 0 t E Q S 9 B Y W 5 n Z X B h c 3 Q l M j B p d G V t J T I w d G 9 l Z 2 V 2 b 2 V n Z D c 8 L 0 l 0 Z W 1 Q Y X R o P j w v S X R l b U x v Y 2 F 0 a W 9 u P j x T d G F i b G V F b n R y a W V z I C 8 + P C 9 J d G V t P j x J d G V t P j x J d G V t T G 9 j Y X R p b 2 4 + P E l 0 Z W 1 U e X B l P k Z v c m 1 1 b G E 8 L 0 l 0 Z W 1 U e X B l P j x J d G V t U G F 0 a D 5 T Z W N 0 a W 9 u M S 9 L R E E v V m 9 v c n d h Y X J k Z W x p a m t l J T I w a 2 9 s b 2 0 l M j B p b m d l d m 9 l Z 2 Q 3 P C 9 J d G V t U G F 0 a D 4 8 L 0 l 0 Z W 1 M b 2 N h d G l v b j 4 8 U 3 R h Y m x l R W 5 0 c m l l c y A v P j w v S X R l b T 4 8 S X R l b T 4 8 S X R l b U x v Y 2 F 0 a W 9 u P j x J d G V t V H l w Z T 5 G b 3 J t d W x h P C 9 J d G V t V H l w Z T 4 8 S X R l b V B h d G g + U 2 V j d G l v b j E v S 0 R B L 0 F h b m d l c G F z d C U y M G l 0 Z W 0 l M j B 0 b 2 V n Z X Z v Z W d k O D w v S X R l b V B h d G g + P C 9 J d G V t T G 9 j Y X R p b 2 4 + P F N 0 Y W J s Z U V u d H J p Z X M g L z 4 8 L 0 l 0 Z W 0 + P E l 0 Z W 0 + P E l 0 Z W 1 M b 2 N h d G l v b j 4 8 S X R l b V R 5 c G U + R m 9 y b X V s Y T w v S X R l b V R 5 c G U + P E l 0 Z W 1 Q Y X R o P l N l Y 3 R p b 2 4 x L 0 t E Q S 9 W b 2 9 y d 2 F h c m R l b G l q a 2 U l M j B r b 2 x v b S U y M G l u Z 2 V 2 b 2 V n Z D g 8 L 0 l 0 Z W 1 Q Y X R o P j w v S X R l b U x v Y 2 F 0 a W 9 u P j x T d G F i b G V F b n R y a W V z I C 8 + P C 9 J d G V t P j x J d G V t P j x J d G V t T G 9 j Y X R p b 2 4 + P E l 0 Z W 1 U e X B l P k Z v c m 1 1 b G E 8 L 0 l 0 Z W 1 U e X B l P j x J d G V t U G F 0 a D 5 T Z W N 0 a W 9 u M S 9 L R E E v Q W F u Z 2 V w Y X N 0 J T I w a X R l b S U y M H R v Z W d l d m 9 l Z 2 Q 5 P C 9 J d G V t U G F 0 a D 4 8 L 0 l 0 Z W 1 M b 2 N h d G l v b j 4 8 U 3 R h Y m x l R W 5 0 c m l l c y A v P j w v S X R l b T 4 8 S X R l b T 4 8 S X R l b U x v Y 2 F 0 a W 9 u P j x J d G V t V H l w Z T 5 G b 3 J t d W x h P C 9 J d G V t V H l w Z T 4 8 S X R l b V B h d G g + U 2 V j d G l v b j E v S 0 R B L 1 Z v b 3 J 3 Y W F y Z G V s a W p r Z S U y M G t v b G 9 t J T I w a W 5 n Z X Z v Z W d k O T w v S X R l b V B h d G g + P C 9 J d G V t T G 9 j Y X R p b 2 4 + P F N 0 Y W J s Z U V u d H J p Z X M g L z 4 8 L 0 l 0 Z W 0 + P E l 0 Z W 0 + P E l 0 Z W 1 M b 2 N h d G l v b j 4 8 S X R l b V R 5 c G U + R m 9 y b X V s Y T w v S X R l b V R 5 c G U + P E l 0 Z W 1 Q Y X R o P l N l Y 3 R p b 2 4 x L 0 t E Q S 9 B Y W 5 n Z X B h c 3 Q l M j B p d G V t J T I w d G 9 l Z 2 V 2 b 2 V n Z D E w P C 9 J d G V t U G F 0 a D 4 8 L 0 l 0 Z W 1 M b 2 N h d G l v b j 4 8 U 3 R h Y m x l R W 5 0 c m l l c y A v P j w v S X R l b T 4 8 S X R l b T 4 8 S X R l b U x v Y 2 F 0 a W 9 u P j x J d G V t V H l w Z T 5 G b 3 J t d W x h P C 9 J d G V t V H l w Z T 4 8 S X R l b V B h d G g + U 2 V j d G l v b j E v S 0 R B L 1 Z v b 3 J 3 Y W F y Z G V s a W p r Z S U y M G t v b G 9 t J T I w a W 5 n Z X Z v Z W d k M T A 8 L 0 l 0 Z W 1 Q Y X R o P j w v S X R l b U x v Y 2 F 0 a W 9 u P j x T d G F i b G V F b n R y a W V z I C 8 + P C 9 J d G V t P j x J d G V t P j x J d G V t T G 9 j Y X R p b 2 4 + P E l 0 Z W 1 U e X B l P k Z v c m 1 1 b G E 8 L 0 l 0 Z W 1 U e X B l P j x J d G V t U G F 0 a D 5 T Z W N 0 a W 9 u M S 9 L R E E v Q W F u Z 2 V w Y X N 0 J T I w a X R l b S U y M H R v Z W d l d m 9 l Z 2 Q x M T w v S X R l b V B h d G g + P C 9 J d G V t T G 9 j Y X R p b 2 4 + P F N 0 Y W J s Z U V u d H J p Z X M g L z 4 8 L 0 l 0 Z W 0 + P E l 0 Z W 0 + P E l 0 Z W 1 M b 2 N h d G l v b j 4 8 S X R l b V R 5 c G U + R m 9 y b X V s Y T w v S X R l b V R 5 c G U + P E l 0 Z W 1 Q Y X R o P l N l Y 3 R p b 2 4 x L 0 t E Q S 9 W b 2 9 y d 2 F h c m R l b G l q a 2 U l M j B r b 2 x v b S U y M G l u Z 2 V 2 b 2 V n Z D E x P C 9 J d G V t U G F 0 a D 4 8 L 0 l 0 Z W 1 M b 2 N h d G l v b j 4 8 U 3 R h Y m x l R W 5 0 c m l l c y A v P j w v S X R l b T 4 8 S X R l b T 4 8 S X R l b U x v Y 2 F 0 a W 9 u P j x J d G V t V H l w Z T 5 G b 3 J t d W x h P C 9 J d G V t V H l w Z T 4 8 S X R l b V B h d G g + U 2 V j d G l v b j E v S 0 R B L 0 F h b m d l c G F z d C U y M G l 0 Z W 0 l M j B 0 b 2 V n Z X Z v Z W d k M T I 8 L 0 l 0 Z W 1 Q Y X R o P j w v S X R l b U x v Y 2 F 0 a W 9 u P j x T d G F i b G V F b n R y a W V z I C 8 + P C 9 J d G V t P j x J d G V t P j x J d G V t T G 9 j Y X R p b 2 4 + P E l 0 Z W 1 U e X B l P k Z v c m 1 1 b G E 8 L 0 l 0 Z W 1 U e X B l P j x J d G V t U G F 0 a D 5 T Z W N 0 a W 9 u M S 9 L R E E v V m 9 v c n d h Y X J k Z W x p a m t l J T I w a 2 9 s b 2 0 l M j B p b m d l d m 9 l Z 2 Q x M j w v S X R l b V B h d G g + P C 9 J d G V t T G 9 j Y X R p b 2 4 + P F N 0 Y W J s Z U V u d H J p Z X M g L z 4 8 L 0 l 0 Z W 0 + P E l 0 Z W 0 + P E l 0 Z W 1 M b 2 N h d G l v b j 4 8 S X R l b V R 5 c G U + R m 9 y b X V s Y T w v S X R l b V R 5 c G U + P E l 0 Z W 1 Q Y X R o P l N l Y 3 R p b 2 4 x L 0 t E Q S 9 B Y W 5 n Z X B h c 3 Q l M j B p d G V t J T I w d G 9 l Z 2 V 2 b 2 V n Z D E z P C 9 J d G V t U G F 0 a D 4 8 L 0 l 0 Z W 1 M b 2 N h d G l v b j 4 8 U 3 R h Y m x l R W 5 0 c m l l c y A v P j w v S X R l b T 4 8 S X R l b T 4 8 S X R l b U x v Y 2 F 0 a W 9 u P j x J d G V t V H l w Z T 5 G b 3 J t d W x h P C 9 J d G V t V H l w Z T 4 8 S X R l b V B h d G g + U 2 V j d G l v b j E v S 0 R B L 1 Z v b 3 J 3 Y W F y Z G V s a W p r Z S U y M G t v b G 9 t J T I w a W 5 n Z X Z v Z W d k M T M 8 L 0 l 0 Z W 1 Q Y X R o P j w v S X R l b U x v Y 2 F 0 a W 9 u P j x T d G F i b G V F b n R y a W V z I C 8 + P C 9 J d G V t P j x J d G V t P j x J d G V t T G 9 j Y X R p b 2 4 + P E l 0 Z W 1 U e X B l P k Z v c m 1 1 b G E 8 L 0 l 0 Z W 1 U e X B l P j x J d G V t U G F 0 a D 5 T Z W N 0 a W 9 u M S 9 L R E E v Q W F u Z 2 V w Y X N 0 J T I w a X R l b S U y M H R v Z W d l d m 9 l Z 2 Q x N D w v S X R l b V B h d G g + P C 9 J d G V t T G 9 j Y X R p b 2 4 + P F N 0 Y W J s Z U V u d H J p Z X M g L z 4 8 L 0 l 0 Z W 0 + P E l 0 Z W 0 + P E l 0 Z W 1 M b 2 N h d G l v b j 4 8 S X R l b V R 5 c G U + R m 9 y b X V s Y T w v S X R l b V R 5 c G U + P E l 0 Z W 1 Q Y X R o P l N l Y 3 R p b 2 4 x L 0 t E Q S 9 W b 2 9 y d 2 F h c m R l b G l q a 2 U l M j B r b 2 x v b S U y M G l u Z 2 V 2 b 2 V n Z D E 0 P C 9 J d G V t U G F 0 a D 4 8 L 0 l 0 Z W 1 M b 2 N h d G l v b j 4 8 U 3 R h Y m x l R W 5 0 c m l l c y A v P j w v S X R l b T 4 8 S X R l b T 4 8 S X R l b U x v Y 2 F 0 a W 9 u P j x J d G V t V H l w Z T 5 G b 3 J t d W x h P C 9 J d G V t V H l w Z T 4 8 S X R l b V B h d G g + U 2 V j d G l v b j E v S 0 R B L 0 F h b m d l c G F z d C U y M G l 0 Z W 0 l M j B 0 b 2 V n Z X Z v Z W d k M T U 8 L 0 l 0 Z W 1 Q Y X R o P j w v S X R l b U x v Y 2 F 0 a W 9 u P j x T d G F i b G V F b n R y a W V z I C 8 + P C 9 J d G V t P j x J d G V t P j x J d G V t T G 9 j Y X R p b 2 4 + P E l 0 Z W 1 U e X B l P k Z v c m 1 1 b G E 8 L 0 l 0 Z W 1 U e X B l P j x J d G V t U G F 0 a D 5 T Z W N 0 a W 9 u M S 9 L R E E v V m 9 v c n d h Y X J k Z W x p a m t l J T I w a 2 9 s b 2 0 l M j B p b m d l d m 9 l Z 2 Q x N T w v S X R l b V B h d G g + P C 9 J d G V t T G 9 j Y X R p b 2 4 + P F N 0 Y W J s Z U V u d H J p Z X M g L z 4 8 L 0 l 0 Z W 0 + P E l 0 Z W 0 + P E l 0 Z W 1 M b 2 N h d G l v b j 4 8 S X R l b V R 5 c G U + R m 9 y b X V s Y T w v S X R l b V R 5 c G U + P E l 0 Z W 1 Q Y X R o P l N l Y 3 R p b 2 4 x L 0 t E Q S 9 B Y W 5 n Z X B h c 3 Q l M j B p d G V t J T I w d G 9 l Z 2 V 2 b 2 V n Z D E 2 P C 9 J d G V t U G F 0 a D 4 8 L 0 l 0 Z W 1 M b 2 N h d G l v b j 4 8 U 3 R h Y m x l R W 5 0 c m l l c y A v P j w v S X R l b T 4 8 S X R l b T 4 8 S X R l b U x v Y 2 F 0 a W 9 u P j x J d G V t V H l w Z T 5 G b 3 J t d W x h P C 9 J d G V t V H l w Z T 4 8 S X R l b V B h d G g + U 2 V j d G l v b j E v S 0 R B L 1 Z v b 3 J 3 Y W F y Z G V s a W p r Z S U y M G t v b G 9 t J T I w a W 5 n Z X Z v Z W d k M T Y 8 L 0 l 0 Z W 1 Q Y X R o P j w v S X R l b U x v Y 2 F 0 a W 9 u P j x T d G F i b G V F b n R y a W V z I C 8 + P C 9 J d G V t P j x J d G V t P j x J d G V t T G 9 j Y X R p b 2 4 + P E l 0 Z W 1 U e X B l P k Z v c m 1 1 b G E 8 L 0 l 0 Z W 1 U e X B l P j x J d G V t U G F 0 a D 5 T Z W N 0 a W 9 u M S 9 L R E E v Q W F u Z 2 V w Y X N 0 J T I w a X R l b S U y M H R v Z W d l d m 9 l Z 2 Q x N z w v S X R l b V B h d G g + P C 9 J d G V t T G 9 j Y X R p b 2 4 + P F N 0 Y W J s Z U V u d H J p Z X M g L z 4 8 L 0 l 0 Z W 0 + P E l 0 Z W 0 + P E l 0 Z W 1 M b 2 N h d G l v b j 4 8 S X R l b V R 5 c G U + R m 9 y b X V s Y T w v S X R l b V R 5 c G U + P E l 0 Z W 1 Q Y X R o P l N l Y 3 R p b 2 4 x L 0 t E Q S 9 W b 2 9 y d 2 F h c m R l b G l q a 2 U l M j B r b 2 x v b S U y M G l u Z 2 V 2 b 2 V n Z D E 3 P C 9 J d G V t U G F 0 a D 4 8 L 0 l 0 Z W 1 M b 2 N h d G l v b j 4 8 U 3 R h Y m x l R W 5 0 c m l l c y A v P j w v S X R l b T 4 8 S X R l b T 4 8 S X R l b U x v Y 2 F 0 a W 9 u P j x J d G V t V H l w Z T 5 G b 3 J t d W x h P C 9 J d G V t V H l w Z T 4 8 S X R l b V B h d G g + U 2 V j d G l v b j E v S 0 R B L 0 F h b m d l c G F z d C U y M G l 0 Z W 0 l M j B 0 b 2 V n Z X Z v Z W d k M T g 8 L 0 l 0 Z W 1 Q Y X R o P j w v S X R l b U x v Y 2 F 0 a W 9 u P j x T d G F i b G V F b n R y a W V z I C 8 + P C 9 J d G V t P j x J d G V t P j x J d G V t T G 9 j Y X R p b 2 4 + P E l 0 Z W 1 U e X B l P k Z v c m 1 1 b G E 8 L 0 l 0 Z W 1 U e X B l P j x J d G V t U G F 0 a D 5 T Z W N 0 a W 9 u M S 9 L R E E v V m 9 v c n d h Y X J k Z W x p a m t l J T I w a 2 9 s b 2 0 l M j B p b m d l d m 9 l Z 2 Q x O D w v S X R l b V B h d G g + P C 9 J d G V t T G 9 j Y X R p b 2 4 + P F N 0 Y W J s Z U V u d H J p Z X M g L z 4 8 L 0 l 0 Z W 0 + P E l 0 Z W 0 + P E l 0 Z W 1 M b 2 N h d G l v b j 4 8 S X R l b V R 5 c G U + R m 9 y b X V s Y T w v S X R l b V R 5 c G U + P E l 0 Z W 1 Q Y X R o P l N l Y 3 R p b 2 4 x L 0 t E Q S 9 B Y W 5 n Z X B h c 3 Q l M j B p d G V t J T I w d G 9 l Z 2 V 2 b 2 V n Z D E 5 P C 9 J d G V t U G F 0 a D 4 8 L 0 l 0 Z W 1 M b 2 N h d G l v b j 4 8 U 3 R h Y m x l R W 5 0 c m l l c y A v P j w v S X R l b T 4 8 S X R l b T 4 8 S X R l b U x v Y 2 F 0 a W 9 u P j x J d G V t V H l w Z T 5 G b 3 J t d W x h P C 9 J d G V t V H l w Z T 4 8 S X R l b V B h d G g + U 2 V j d G l v b j E v S 0 R B L 1 Z v b 3 J 3 Y W F y Z G V s a W p r Z S U y M G t v b G 9 t J T I w a W 5 n Z X Z v Z W d k M T k 8 L 0 l 0 Z W 1 Q Y X R o P j w v S X R l b U x v Y 2 F 0 a W 9 u P j x T d G F i b G V F b n R y a W V z I C 8 + P C 9 J d G V t P j x J d G V t P j x J d G V t T G 9 j Y X R p b 2 4 + P E l 0 Z W 1 U e X B l P k Z v c m 1 1 b G E 8 L 0 l 0 Z W 1 U e X B l P j x J d G V t U G F 0 a D 5 T Z W N 0 a W 9 u M S 9 L R E E v Q W F u Z 2 V w Y X N 0 J T I w a X R l b S U y M H R v Z W d l d m 9 l Z 2 Q y M D w v S X R l b V B h d G g + P C 9 J d G V t T G 9 j Y X R p b 2 4 + P F N 0 Y W J s Z U V u d H J p Z X M g L z 4 8 L 0 l 0 Z W 0 + P E l 0 Z W 0 + P E l 0 Z W 1 M b 2 N h d G l v b j 4 8 S X R l b V R 5 c G U + R m 9 y b X V s Y T w v S X R l b V R 5 c G U + P E l 0 Z W 1 Q Y X R o P l N l Y 3 R p b 2 4 x L 0 t E Q S 9 W b 2 9 y d 2 F h c m R l b G l q a 2 U l M j B r b 2 x v b S U y M G l u Z 2 V 2 b 2 V n Z D I w P C 9 J d G V t U G F 0 a D 4 8 L 0 l 0 Z W 1 M b 2 N h d G l v b j 4 8 U 3 R h Y m x l R W 5 0 c m l l c y A v P j w v S X R l b T 4 8 S X R l b T 4 8 S X R l b U x v Y 2 F 0 a W 9 u P j x J d G V t V H l w Z T 5 G b 3 J t d W x h P C 9 J d G V t V H l w Z T 4 8 S X R l b V B h d G g + U 2 V j d G l v b j E v S 0 R B L 0 F h b m d l c G F z d C U y M G l 0 Z W 0 l M j B 0 b 2 V n Z X Z v Z W d k M j E 8 L 0 l 0 Z W 1 Q Y X R o P j w v S X R l b U x v Y 2 F 0 a W 9 u P j x T d G F i b G V F b n R y a W V z I C 8 + P C 9 J d G V t P j x J d G V t P j x J d G V t T G 9 j Y X R p b 2 4 + P E l 0 Z W 1 U e X B l P k Z v c m 1 1 b G E 8 L 0 l 0 Z W 1 U e X B l P j x J d G V t U G F 0 a D 5 T Z W N 0 a W 9 u M S 9 L R E E v V m 9 v c n d h Y X J k Z W x p a m t l J T I w a 2 9 s b 2 0 l M j B p b m d l d m 9 l Z 2 Q y M T w v S X R l b V B h d G g + P C 9 J d G V t T G 9 j Y X R p b 2 4 + P F N 0 Y W J s Z U V u d H J p Z X M g L z 4 8 L 0 l 0 Z W 0 + P E l 0 Z W 0 + P E l 0 Z W 1 M b 2 N h d G l v b j 4 8 S X R l b V R 5 c G U + R m 9 y b X V s Y T w v S X R l b V R 5 c G U + P E l 0 Z W 1 Q Y X R o P l N l Y 3 R p b 2 4 x L 0 t E Q S 9 B Y W 5 n Z X B h c 3 Q l M j B p d G V t J T I w d G 9 l Z 2 V 2 b 2 V n Z D I y P C 9 J d G V t U G F 0 a D 4 8 L 0 l 0 Z W 1 M b 2 N h d G l v b j 4 8 U 3 R h Y m x l R W 5 0 c m l l c y A v P j w v S X R l b T 4 8 S X R l b T 4 8 S X R l b U x v Y 2 F 0 a W 9 u P j x J d G V t V H l w Z T 5 G b 3 J t d W x h P C 9 J d G V t V H l w Z T 4 8 S X R l b V B h d G g + U 2 V j d G l v b j E v S 0 R B L 1 Z v b 3 J 3 Y W F y Z G V s a W p r Z S U y M G t v b G 9 t J T I w a W 5 n Z X Z v Z W d k M j I 8 L 0 l 0 Z W 1 Q Y X R o P j w v S X R l b U x v Y 2 F 0 a W 9 u P j x T d G F i b G V F b n R y a W V z I C 8 + P C 9 J d G V t P j x J d G V t P j x J d G V t T G 9 j Y X R p b 2 4 + P E l 0 Z W 1 U e X B l P k Z v c m 1 1 b G E 8 L 0 l 0 Z W 1 U e X B l P j x J d G V t U G F 0 a D 5 T Z W N 0 a W 9 u M S 9 L R E E v Q W F u Z 2 V w Y X N 0 J T I w a X R l b S U y M H R v Z W d l d m 9 l Z 2 Q y M z w v S X R l b V B h d G g + P C 9 J d G V t T G 9 j Y X R p b 2 4 + P F N 0 Y W J s Z U V u d H J p Z X M g L z 4 8 L 0 l 0 Z W 0 + P E l 0 Z W 0 + P E l 0 Z W 1 M b 2 N h d G l v b j 4 8 S X R l b V R 5 c G U + R m 9 y b X V s Y T w v S X R l b V R 5 c G U + P E l 0 Z W 1 Q Y X R o P l N l Y 3 R p b 2 4 x L 0 t E Q S 9 W b 2 9 y d 2 F h c m R l b G l q a 2 U l M j B r b 2 x v b S U y M G l u Z 2 V 2 b 2 V n Z D I z P C 9 J d G V t U G F 0 a D 4 8 L 0 l 0 Z W 1 M b 2 N h d G l v b j 4 8 U 3 R h Y m x l R W 5 0 c m l l c y A v P j w v S X R l b T 4 8 S X R l b T 4 8 S X R l b U x v Y 2 F 0 a W 9 u P j x J d G V t V H l w Z T 5 G b 3 J t d W x h P C 9 J d G V t V H l w Z T 4 8 S X R l b V B h d G g + U 2 V j d G l v b j E v S 0 R B L 0 F h b m d l c G F z d C U y M G l 0 Z W 0 l M j B 0 b 2 V n Z X Z v Z W d k M j Q 8 L 0 l 0 Z W 1 Q Y X R o P j w v S X R l b U x v Y 2 F 0 a W 9 u P j x T d G F i b G V F b n R y a W V z I C 8 + P C 9 J d G V t P j x J d G V t P j x J d G V t T G 9 j Y X R p b 2 4 + P E l 0 Z W 1 U e X B l P k Z v c m 1 1 b G E 8 L 0 l 0 Z W 1 U e X B l P j x J d G V t U G F 0 a D 5 T Z W N 0 a W 9 u M S 9 L R E E v V m 9 v c n d h Y X J k Z W x p a m t l J T I w a 2 9 s b 2 0 l M j B p b m d l d m 9 l Z 2 Q y N D w v S X R l b V B h d G g + P C 9 J d G V t T G 9 j Y X R p b 2 4 + P F N 0 Y W J s Z U V u d H J p Z X M g L z 4 8 L 0 l 0 Z W 0 + P E l 0 Z W 0 + P E l 0 Z W 1 M b 2 N h d G l v b j 4 8 S X R l b V R 5 c G U + R m 9 y b X V s Y T w v S X R l b V R 5 c G U + P E l 0 Z W 1 Q Y X R o P l N l Y 3 R p b 2 4 x L 0 t E Q S 9 B Y W 5 n Z X B h c 3 Q l M j B p d G V t J T I w d G 9 l Z 2 V 2 b 2 V n Z D I 1 P C 9 J d G V t U G F 0 a D 4 8 L 0 l 0 Z W 1 M b 2 N h d G l v b j 4 8 U 3 R h Y m x l R W 5 0 c m l l c y A v P j w v S X R l b T 4 8 S X R l b T 4 8 S X R l b U x v Y 2 F 0 a W 9 u P j x J d G V t V H l w Z T 5 G b 3 J t d W x h P C 9 J d G V t V H l w Z T 4 8 S X R l b V B h d G g + U 2 V j d G l v b j E v S 0 R B L 1 Z v b 3 J 3 Y W F y Z G V s a W p r Z S U y M G t v b G 9 t J T I w a W 5 n Z X Z v Z W d k M j U 8 L 0 l 0 Z W 1 Q Y X R o P j w v S X R l b U x v Y 2 F 0 a W 9 u P j x T d G F i b G V F b n R y a W V z I C 8 + P C 9 J d G V t P j x J d G V t P j x J d G V t T G 9 j Y X R p b 2 4 + P E l 0 Z W 1 U e X B l P k Z v c m 1 1 b G E 8 L 0 l 0 Z W 1 U e X B l P j x J d G V t U G F 0 a D 5 T Z W N 0 a W 9 u M S 9 L R E E v Q W F u Z 2 V w Y X N 0 J T I w a X R l b S U y M H R v Z W d l d m 9 l Z 2 Q y N j w v S X R l b V B h d G g + P C 9 J d G V t T G 9 j Y X R p b 2 4 + P F N 0 Y W J s Z U V u d H J p Z X M g L z 4 8 L 0 l 0 Z W 0 + P E l 0 Z W 0 + P E l 0 Z W 1 M b 2 N h d G l v b j 4 8 S X R l b V R 5 c G U + R m 9 y b X V s Y T w v S X R l b V R 5 c G U + P E l 0 Z W 1 Q Y X R o P l N l Y 3 R p b 2 4 x L 0 t E Q S 9 W b 2 9 y d 2 F h c m R l b G l q a 2 U l M j B r b 2 x v b S U y M G l u Z 2 V 2 b 2 V n Z D I 2 P C 9 J d G V t U G F 0 a D 4 8 L 0 l 0 Z W 1 M b 2 N h d G l v b j 4 8 U 3 R h Y m x l R W 5 0 c m l l c y A v P j w v S X R l b T 4 8 S X R l b T 4 8 S X R l b U x v Y 2 F 0 a W 9 u P j x J d G V t V H l w Z T 5 G b 3 J t d W x h P C 9 J d G V t V H l w Z T 4 8 S X R l b V B h d G g + U 2 V j d G l v b j E v S 0 R B L 0 F h b m d l c G F z d C U y M G l 0 Z W 0 l M j B 0 b 2 V n Z X Z v Z W d k M j c 8 L 0 l 0 Z W 1 Q Y X R o P j w v S X R l b U x v Y 2 F 0 a W 9 u P j x T d G F i b G V F b n R y a W V z I C 8 + P C 9 J d G V t P j x J d G V t P j x J d G V t T G 9 j Y X R p b 2 4 + P E l 0 Z W 1 U e X B l P k Z v c m 1 1 b G E 8 L 0 l 0 Z W 1 U e X B l P j x J d G V t U G F 0 a D 5 T Z W N 0 a W 9 u M S 9 L R E E v V m 9 v c n d h Y X J k Z W x p a m t l J T I w a 2 9 s b 2 0 l M j B p b m d l d m 9 l Z 2 Q y N z w v S X R l b V B h d G g + P C 9 J d G V t T G 9 j Y X R p b 2 4 + P F N 0 Y W J s Z U V u d H J p Z X M g L z 4 8 L 0 l 0 Z W 0 + P E l 0 Z W 0 + P E l 0 Z W 1 M b 2 N h d G l v b j 4 8 S X R l b V R 5 c G U + R m 9 y b X V s Y T w v S X R l b V R 5 c G U + P E l 0 Z W 1 Q Y X R o P l N l Y 3 R p b 2 4 x L 0 t E Q S 9 B Y W 5 n Z X B h c 3 Q l M j B p d G V t J T I w d G 9 l Z 2 V 2 b 2 V n Z D I 4 P C 9 J d G V t U G F 0 a D 4 8 L 0 l 0 Z W 1 M b 2 N h d G l v b j 4 8 U 3 R h Y m x l R W 5 0 c m l l c y A v P j w v S X R l b T 4 8 S X R l b T 4 8 S X R l b U x v Y 2 F 0 a W 9 u P j x J d G V t V H l w Z T 5 G b 3 J t d W x h P C 9 J d G V t V H l w Z T 4 8 S X R l b V B h d G g + U 2 V j d G l v b j E v S 0 R B L 1 Z v b 3 J 3 Y W F y Z G V s a W p r Z S U y M G t v b G 9 t J T I w a W 5 n Z X Z v Z W d k M j g 8 L 0 l 0 Z W 1 Q Y X R o P j w v S X R l b U x v Y 2 F 0 a W 9 u P j x T d G F i b G V F b n R y a W V z I C 8 + P C 9 J d G V t P j x J d G V t P j x J d G V t T G 9 j Y X R p b 2 4 + P E l 0 Z W 1 U e X B l P k Z v c m 1 1 b G E 8 L 0 l 0 Z W 1 U e X B l P j x J d G V t U G F 0 a D 5 T Z W N 0 a W 9 u M S 9 L R E E v Q W F u Z 2 V w Y X N 0 J T I w a X R l b S U y M H R v Z W d l d m 9 l Z 2 Q y O T w v S X R l b V B h d G g + P C 9 J d G V t T G 9 j Y X R p b 2 4 + P F N 0 Y W J s Z U V u d H J p Z X M g L z 4 8 L 0 l 0 Z W 0 + P E l 0 Z W 0 + P E l 0 Z W 1 M b 2 N h d G l v b j 4 8 S X R l b V R 5 c G U + R m 9 y b X V s Y T w v S X R l b V R 5 c G U + P E l 0 Z W 1 Q Y X R o P l N l Y 3 R p b 2 4 x L 0 t E Q S 9 W b 2 9 y d 2 F h c m R l b G l q a 2 U l M j B r b 2 x v b S U y M G l u Z 2 V 2 b 2 V n Z D I 5 P C 9 J d G V t U G F 0 a D 4 8 L 0 l 0 Z W 1 M b 2 N h d G l v b j 4 8 U 3 R h Y m x l R W 5 0 c m l l c y A v P j w v S X R l b T 4 8 S X R l b T 4 8 S X R l b U x v Y 2 F 0 a W 9 u P j x J d G V t V H l w Z T 5 G b 3 J t d W x h P C 9 J d G V t V H l w Z T 4 8 S X R l b V B h d G g + U 2 V j d G l v b j E v S 0 R B L 0 F h b m d l c G F z d C U y M G l 0 Z W 0 l M j B 0 b 2 V n Z X Z v Z W d k M z A 8 L 0 l 0 Z W 1 Q Y X R o P j w v S X R l b U x v Y 2 F 0 a W 9 u P j x T d G F i b G V F b n R y a W V z I C 8 + P C 9 J d G V t P j x J d G V t P j x J d G V t T G 9 j Y X R p b 2 4 + P E l 0 Z W 1 U e X B l P k Z v c m 1 1 b G E 8 L 0 l 0 Z W 1 U e X B l P j x J d G V t U G F 0 a D 5 T Z W N 0 a W 9 u M S 9 L R E E v Q W F u Z 2 V w Y X N 0 J T I w a X R l b S U y M H R v Z W d l d m 9 l Z 2 Q z M T w v S X R l b V B h d G g + P C 9 J d G V t T G 9 j Y X R p b 2 4 + P F N 0 Y W J s Z U V u d H J p Z X M g L z 4 8 L 0 l 0 Z W 0 + P E l 0 Z W 0 + P E l 0 Z W 1 M b 2 N h d G l v b j 4 8 S X R l b V R 5 c G U + R m 9 y b X V s Y T w v S X R l b V R 5 c G U + P E l 0 Z W 1 Q Y X R o P l N l Y 3 R p b 2 4 x L 0 t E Q S 9 B Y W 5 n Z X B h c 3 Q l M j B p d G V t J T I w d G 9 l Z 2 V 2 b 2 V n Z D M y P C 9 J d G V t U G F 0 a D 4 8 L 0 l 0 Z W 1 M b 2 N h d G l v b j 4 8 U 3 R h Y m x l R W 5 0 c m l l c y A v P j w v S X R l b T 4 8 S X R l b T 4 8 S X R l b U x v Y 2 F 0 a W 9 u P j x J d G V t V H l w Z T 5 G b 3 J t d W x h P C 9 J d G V t V H l w Z T 4 8 S X R l b V B h d G g + U 2 V j d G l v b j E v S 0 R B L 0 5 h b W V u J T I w d m F u J T I w a 2 9 s b 2 1 t Z W 4 l M j B n Z X d p a n p p Z 2 Q l M j A x P C 9 J d G V t U G F 0 a D 4 8 L 0 l 0 Z W 1 M b 2 N h d G l v b j 4 8 U 3 R h Y m x l R W 5 0 c m l l c y A v P j w v S X R l b T 4 8 S X R l b T 4 8 S X R l b U x v Y 2 F 0 a W 9 u P j x J d G V t V H l w Z T 5 G b 3 J t d W x h P C 9 J d G V t V H l w Z T 4 8 S X R l b V B h d G g + U 2 V j d G l v b j E v S 0 R B L 0 5 h b W V u J T I w d m F u J T I w a 2 9 s b 2 1 t Z W 4 l M j B n Z X d p a n p p Z 2 Q l M j A y P C 9 J d G V t U G F 0 a D 4 8 L 0 l 0 Z W 1 M b 2 N h d G l v b j 4 8 U 3 R h Y m x l R W 5 0 c m l l c y A v P j w v S X R l b T 4 8 S X R l b T 4 8 S X R l b U x v Y 2 F 0 a W 9 u P j x J d G V t V H l w Z T 5 G b 3 J t d W x h P C 9 J d G V t V H l w Z T 4 8 S X R l b V B h d G g + U 2 V j d G l v b j E v S 0 R B L 0 t v b G 9 t b W V u J T I w d m V y d 2 l q Z G V y Z D w v S X R l b V B h d G g + P C 9 J d G V t T G 9 j Y X R p b 2 4 + P F N 0 Y W J s Z U V u d H J p Z X M g L z 4 8 L 0 l 0 Z W 0 + P E l 0 Z W 0 + P E l 0 Z W 1 M b 2 N h d G l v b j 4 8 S X R l b V R 5 c G U + R m 9 y b X V s Y T w v S X R l b V R 5 c G U + P E l 0 Z W 1 Q Y X R o P l N l Y 3 R p b 2 4 x L 0 t E Q S 9 L b 2 x v b W 1 l b i U y M H Z l c n d p a m R l c m Q l M j A x P C 9 J d G V t U G F 0 a D 4 8 L 0 l 0 Z W 1 M b 2 N h d G l v b j 4 8 U 3 R h Y m x l R W 5 0 c m l l c y A v P j w v S X R l b T 4 8 S X R l b T 4 8 S X R l b U x v Y 2 F 0 a W 9 u P j x J d G V t V H l w Z T 5 G b 3 J t d W x h P C 9 J d G V t V H l w Z T 4 8 S X R l b V B h d G g + U 2 V j d G l v b j E v S 0 R B L 0 F h b m d l c G F z d C U y M G l 0 Z W 0 l M j B 0 b 2 V n Z X Z v Z W d k M z M 8 L 0 l 0 Z W 1 Q Y X R o P j w v S X R l b U x v Y 2 F 0 a W 9 u P j x T d G F i b G V F b n R y a W V z I C 8 + P C 9 J d G V t P j x J d G V t P j x J d G V t T G 9 j Y X R p b 2 4 + P E l 0 Z W 1 U e X B l P k Z v c m 1 1 b G E 8 L 0 l 0 Z W 1 U e X B l P j x J d G V t U G F 0 a D 5 T Z W N 0 a W 9 u M S 9 L R E E v Q W F u Z 2 V w Y X N 0 J T I w a X R l b S U y M H R v Z W d l d m 9 l Z 2 Q z N D w v S X R l b V B h d G g + P C 9 J d G V t T G 9 j Y X R p b 2 4 + P F N 0 Y W J s Z U V u d H J p Z X M g L z 4 8 L 0 l 0 Z W 0 + P E l 0 Z W 0 + P E l 0 Z W 1 M b 2 N h d G l v b j 4 8 S X R l b V R 5 c G U + R m 9 y b X V s Y T w v S X R l b V R 5 c G U + P E l 0 Z W 1 Q Y X R o P l N l Y 3 R p b 2 4 x L 0 t E Q S 9 B Y W 5 n Z X B h c 3 Q l M j B p d G V t J T I w d G 9 l Z 2 V 2 b 2 V n Z D M 1 P C 9 J d G V t U G F 0 a D 4 8 L 0 l 0 Z W 1 M b 2 N h d G l v b j 4 8 U 3 R h Y m x l R W 5 0 c m l l c y A v P j w v S X R l b T 4 8 S X R l b T 4 8 S X R l b U x v Y 2 F 0 a W 9 u P j x J d G V t V H l w Z T 5 G b 3 J t d W x h P C 9 J d G V t V H l w Z T 4 8 S X R l b V B h d G g + U 2 V j d G l v b j E v S 0 R B L 0 F h b m d l c G F z d C U y M G l 0 Z W 0 l M j B 0 b 2 V n Z X Z v Z W d k M z Y 8 L 0 l 0 Z W 1 Q Y X R o P j w v S X R l b U x v Y 2 F 0 a W 9 u P j x T d G F i b G V F b n R y a W V z I C 8 + P C 9 J d G V t P j x J d G V t P j x J d G V t T G 9 j Y X R p b 2 4 + P E l 0 Z W 1 U e X B l P k Z v c m 1 1 b G E 8 L 0 l 0 Z W 1 U e X B l P j x J d G V t U G F 0 a D 5 T Z W N 0 a W 9 u M S 9 L R E E v Q W F u Z 2 V w Y X N 0 J T I w a X R l b S U y M H R v Z W d l d m 9 l Z 2 Q z N z w v S X R l b V B h d G g + P C 9 J d G V t T G 9 j Y X R p b 2 4 + P F N 0 Y W J s Z U V u d H J p Z X M g L z 4 8 L 0 l 0 Z W 0 + P E l 0 Z W 0 + P E l 0 Z W 1 M b 2 N h d G l v b j 4 8 S X R l b V R 5 c G U + R m 9 y b X V s Y T w v S X R l b V R 5 c G U + P E l 0 Z W 1 Q Y X R o P l N l Y 3 R p b 2 4 x L 0 t E Q S 9 B Y W 5 n Z X B h c 3 Q l M j B p d G V t J T I w d G 9 l Z 2 V 2 b 2 V n Z D M 4 P C 9 J d G V t U G F 0 a D 4 8 L 0 l 0 Z W 1 M b 2 N h d G l v b j 4 8 U 3 R h Y m x l R W 5 0 c m l l c y A v P j w v S X R l b T 4 8 S X R l b T 4 8 S X R l b U x v Y 2 F 0 a W 9 u P j x J d G V t V H l w Z T 5 G b 3 J t d W x h P C 9 J d G V t V H l w Z T 4 8 S X R l b V B h d G g + U 2 V j d G l v b j E v S 0 R B L 0 F h b m d l c G F z d C U y M G l 0 Z W 0 l M j B 0 b 2 V n Z X Z v Z W d k M z k 8 L 0 l 0 Z W 1 Q Y X R o P j w v S X R l b U x v Y 2 F 0 a W 9 u P j x T d G F i b G V F b n R y a W V z I C 8 + P C 9 J d G V t P j x J d G V t P j x J d G V t T G 9 j Y X R p b 2 4 + P E l 0 Z W 1 U e X B l P k Z v c m 1 1 b G E 8 L 0 l 0 Z W 1 U e X B l P j x J d G V t U G F 0 a D 5 T Z W N 0 a W 9 u M S 9 L R E E v Q W F u Z 2 V w Y X N 0 J T I w a X R l b S U y M H R v Z W d l d m 9 l Z 2 Q 0 M D w v S X R l b V B h d G g + P C 9 J d G V t T G 9 j Y X R p b 2 4 + P F N 0 Y W J s Z U V u d H J p Z X M g L z 4 8 L 0 l 0 Z W 0 + P E l 0 Z W 0 + P E l 0 Z W 1 M b 2 N h d G l v b j 4 8 S X R l b V R 5 c G U + R m 9 y b X V s Y T w v S X R l b V R 5 c G U + P E l 0 Z W 1 Q Y X R o P l N l Y 3 R p b 2 4 x L 0 t E Q S 9 B Y W 5 n Z X B h c 3 Q l M j B p d G V t J T I w d G 9 l Z 2 V 2 b 2 V n Z D Q x P C 9 J d G V t U G F 0 a D 4 8 L 0 l 0 Z W 1 M b 2 N h d G l v b j 4 8 U 3 R h Y m x l R W 5 0 c m l l c y A v P j w v S X R l b T 4 8 S X R l b T 4 8 S X R l b U x v Y 2 F 0 a W 9 u P j x J d G V t V H l w Z T 5 G b 3 J t d W x h P C 9 J d G V t V H l w Z T 4 8 S X R l b V B h d G g + U 2 V j d G l v b j E v S 0 R B L 0 F h b m d l c G F z d C U y M G l 0 Z W 0 l M j B 0 b 2 V n Z X Z v Z W d k N D I 8 L 0 l 0 Z W 1 Q Y X R o P j w v S X R l b U x v Y 2 F 0 a W 9 u P j x T d G F i b G V F b n R y a W V z I C 8 + P C 9 J d G V t P j x J d G V t P j x J d G V t T G 9 j Y X R p b 2 4 + P E l 0 Z W 1 U e X B l P k Z v c m 1 1 b G E 8 L 0 l 0 Z W 1 U e X B l P j x J d G V t U G F 0 a D 5 T Z W N 0 a W 9 u M S 9 L R E E v Q W F u Z 2 V w Y X N 0 J T I w a X R l b S U y M H R v Z W d l d m 9 l Z 2 Q 0 M z w v S X R l b V B h d G g + P C 9 J d G V t T G 9 j Y X R p b 2 4 + P F N 0 Y W J s Z U V u d H J p Z X M g L z 4 8 L 0 l 0 Z W 0 + P E l 0 Z W 0 + P E l 0 Z W 1 M b 2 N h d G l v b j 4 8 S X R l b V R 5 c G U + R m 9 y b X V s Y T w v S X R l b V R 5 c G U + P E l 0 Z W 1 Q Y X R o P l N l Y 3 R p b 2 4 x L 0 t E Q S 9 B Y W 5 n Z X B h c 3 Q l M j B p d G V t J T I w d G 9 l Z 2 V 2 b 2 V n Z D Q 0 P C 9 J d G V t U G F 0 a D 4 8 L 0 l 0 Z W 1 M b 2 N h d G l v b j 4 8 U 3 R h Y m x l R W 5 0 c m l l c y A v P j w v S X R l b T 4 8 S X R l b T 4 8 S X R l b U x v Y 2 F 0 a W 9 u P j x J d G V t V H l w Z T 5 G b 3 J t d W x h P C 9 J d G V t V H l w Z T 4 8 S X R l b V B h d G g + U 2 V j d G l v b j E v S 0 R B L 0 F h b m d l c G F z d C U y M G l 0 Z W 0 l M j B 0 b 2 V n Z X Z v Z W d k N D U 8 L 0 l 0 Z W 1 Q Y X R o P j w v S X R l b U x v Y 2 F 0 a W 9 u P j x T d G F i b G V F b n R y a W V z I C 8 + P C 9 J d G V t P j x J d G V t P j x J d G V t T G 9 j Y X R p b 2 4 + P E l 0 Z W 1 U e X B l P k Z v c m 1 1 b G E 8 L 0 l 0 Z W 1 U e X B l P j x J d G V t U G F 0 a D 5 T Z W N 0 a W 9 u M S 9 L R E E v Q W F u Z 2 V w Y X N 0 J T I w a X R l b S U y M H R v Z W d l d m 9 l Z 2 Q 0 N j w v S X R l b V B h d G g + P C 9 J d G V t T G 9 j Y X R p b 2 4 + P F N 0 Y W J s Z U V u d H J p Z X M g L z 4 8 L 0 l 0 Z W 0 + P E l 0 Z W 0 + P E l 0 Z W 1 M b 2 N h d G l v b j 4 8 S X R l b V R 5 c G U + R m 9 y b X V s Y T w v S X R l b V R 5 c G U + P E l 0 Z W 1 Q Y X R o P l N l Y 3 R p b 2 4 x L 0 t E Q S 9 B Y W 5 n Z X B h c 3 Q l M j B p d G V t J T I w d G 9 l Z 2 V 2 b 2 V n Z D Q 3 P C 9 J d G V t U G F 0 a D 4 8 L 0 l 0 Z W 1 M b 2 N h d G l v b j 4 8 U 3 R h Y m x l R W 5 0 c m l l c y A v P j w v S X R l b T 4 8 S X R l b T 4 8 S X R l b U x v Y 2 F 0 a W 9 u P j x J d G V t V H l w Z T 5 G b 3 J t d W x h P C 9 J d G V t V H l w Z T 4 8 S X R l b V B h d G g + U 2 V j d G l v b j E v S 0 R B L 0 F h b m d l c G F z d C U y M G l 0 Z W 0 l M j B 0 b 2 V n Z X Z v Z W d k N D g 8 L 0 l 0 Z W 1 Q Y X R o P j w v S X R l b U x v Y 2 F 0 a W 9 u P j x T d G F i b G V F b n R y a W V z I C 8 + P C 9 J d G V t P j x J d G V t P j x J d G V t T G 9 j Y X R p b 2 4 + P E l 0 Z W 1 U e X B l P k Z v c m 1 1 b G E 8 L 0 l 0 Z W 1 U e X B l P j x J d G V t U G F 0 a D 5 T Z W N 0 a W 9 u M S 9 L R E E v Q W F u Z 2 V w Y X N 0 J T I w a X R l b S U y M H R v Z W d l d m 9 l Z 2 Q 0 O T w v S X R l b V B h d G g + P C 9 J d G V t T G 9 j Y X R p b 2 4 + P F N 0 Y W J s Z U V u d H J p Z X M g L z 4 8 L 0 l 0 Z W 0 + P E l 0 Z W 0 + P E l 0 Z W 1 M b 2 N h d G l v b j 4 8 S X R l b V R 5 c G U + R m 9 y b X V s Y T w v S X R l b V R 5 c G U + P E l 0 Z W 1 Q Y X R o P l N l Y 3 R p b 2 4 x L 0 t E Q S 9 B Y W 5 n Z X B h c 3 Q l M j B p d G V t J T I w d G 9 l Z 2 V 2 b 2 V n Z D U w P C 9 J d G V t U G F 0 a D 4 8 L 0 l 0 Z W 1 M b 2 N h d G l v b j 4 8 U 3 R h Y m x l R W 5 0 c m l l c y A v P j w v S X R l b T 4 8 S X R l b T 4 8 S X R l b U x v Y 2 F 0 a W 9 u P j x J d G V t V H l w Z T 5 G b 3 J t d W x h P C 9 J d G V t V H l w Z T 4 8 S X R l b V B h d G g + U 2 V j d G l v b j E v S 0 R B L 0 F h b m d l c G F z d C U y M G l 0 Z W 0 l M j B 0 b 2 V n Z X Z v Z W d k N T E 8 L 0 l 0 Z W 1 Q Y X R o P j w v S X R l b U x v Y 2 F 0 a W 9 u P j x T d G F i b G V F b n R y a W V z I C 8 + P C 9 J d G V t P j x J d G V t P j x J d G V t T G 9 j Y X R p b 2 4 + P E l 0 Z W 1 U e X B l P k Z v c m 1 1 b G E 8 L 0 l 0 Z W 1 U e X B l P j x J d G V t U G F 0 a D 5 T Z W N 0 a W 9 u M S 9 L R E E v Q W F u Z 2 V w Y X N 0 J T I w a X R l b S U y M H R v Z W d l d m 9 l Z 2 Q 1 M j w v S X R l b V B h d G g + P C 9 J d G V t T G 9 j Y X R p b 2 4 + P F N 0 Y W J s Z U V u d H J p Z X M g L z 4 8 L 0 l 0 Z W 0 + P E l 0 Z W 0 + P E l 0 Z W 1 M b 2 N h d G l v b j 4 8 S X R l b V R 5 c G U + R m 9 y b X V s Y T w v S X R l b V R 5 c G U + P E l 0 Z W 1 Q Y X R o P l N l Y 3 R p b 2 4 x L 0 t E Q S 9 B Y W 5 n Z X B h c 3 Q l M j B p d G V t J T I w d G 9 l Z 2 V 2 b 2 V n Z D U z P C 9 J d G V t U G F 0 a D 4 8 L 0 l 0 Z W 1 M b 2 N h d G l v b j 4 8 U 3 R h Y m x l R W 5 0 c m l l c y A v P j w v S X R l b T 4 8 S X R l b T 4 8 S X R l b U x v Y 2 F 0 a W 9 u P j x J d G V t V H l w Z T 5 G b 3 J t d W x h P C 9 J d G V t V H l w Z T 4 8 S X R l b V B h d G g + U 2 V j d G l v b j E v S 0 R B L 0 F h b m d l c G F z d C U y M G l 0 Z W 0 l M j B 0 b 2 V n Z X Z v Z W d k N T Q 8 L 0 l 0 Z W 1 Q Y X R o P j w v S X R l b U x v Y 2 F 0 a W 9 u P j x T d G F i b G V F b n R y a W V z I C 8 + P C 9 J d G V t P j x J d G V t P j x J d G V t T G 9 j Y X R p b 2 4 + P E l 0 Z W 1 U e X B l P k Z v c m 1 1 b G E 8 L 0 l 0 Z W 1 U e X B l P j x J d G V t U G F 0 a D 5 T Z W N 0 a W 9 u M S 9 L R E E v Q W F u Z 2 V w Y X N 0 J T I w a X R l b S U y M H R v Z W d l d m 9 l Z 2 Q 1 N T w v S X R l b V B h d G g + P C 9 J d G V t T G 9 j Y X R p b 2 4 + P F N 0 Y W J s Z U V u d H J p Z X M g L z 4 8 L 0 l 0 Z W 0 + P E l 0 Z W 0 + P E l 0 Z W 1 M b 2 N h d G l v b j 4 8 S X R l b V R 5 c G U + R m 9 y b X V s Y T w v S X R l b V R 5 c G U + P E l 0 Z W 1 Q Y X R o P l N l Y 3 R p b 2 4 x L 0 t E Q S 9 B Y W 5 n Z X B h c 3 Q l M j B p d G V t J T I w d G 9 l Z 2 V 2 b 2 V n Z D U 2 P C 9 J d G V t U G F 0 a D 4 8 L 0 l 0 Z W 1 M b 2 N h d G l v b j 4 8 U 3 R h Y m x l R W 5 0 c m l l c y A v P j w v S X R l b T 4 8 S X R l b T 4 8 S X R l b U x v Y 2 F 0 a W 9 u P j x J d G V t V H l w Z T 5 G b 3 J t d W x h P C 9 J d G V t V H l w Z T 4 8 S X R l b V B h d G g + U 2 V j d G l v b j E v S 0 R B L 0 F h b m d l c G F z d C U y M G l 0 Z W 0 l M j B 0 b 2 V n Z X Z v Z W d k N T c 8 L 0 l 0 Z W 1 Q Y X R o P j w v S X R l b U x v Y 2 F 0 a W 9 u P j x T d G F i b G V F b n R y a W V z I C 8 + P C 9 J d G V t P j x J d G V t P j x J d G V t T G 9 j Y X R p b 2 4 + P E l 0 Z W 1 U e X B l P k Z v c m 1 1 b G E 8 L 0 l 0 Z W 1 U e X B l P j x J d G V t U G F 0 a D 5 T Z W N 0 a W 9 u M S 9 L R E E v Q W F u Z 2 V w Y X N 0 J T I w a X R l b S U y M H R v Z W d l d m 9 l Z 2 Q 1 O D w v S X R l b V B h d G g + P C 9 J d G V t T G 9 j Y X R p b 2 4 + P F N 0 Y W J s Z U V u d H J p Z X M g L z 4 8 L 0 l 0 Z W 0 + P E l 0 Z W 0 + P E l 0 Z W 1 M b 2 N h d G l v b j 4 8 S X R l b V R 5 c G U + R m 9 y b X V s Y T w v S X R l b V R 5 c G U + P E l 0 Z W 1 Q Y X R o P l N l Y 3 R p b 2 4 x L 0 t E Q S 9 B Y W 5 n Z X B h c 3 Q l M j B p d G V t J T I w d G 9 l Z 2 V 2 b 2 V n Z D U 5 P C 9 J d G V t U G F 0 a D 4 8 L 0 l 0 Z W 1 M b 2 N h d G l v b j 4 8 U 3 R h Y m x l R W 5 0 c m l l c y A v P j w v S X R l b T 4 8 S X R l b T 4 8 S X R l b U x v Y 2 F 0 a W 9 u P j x J d G V t V H l w Z T 5 G b 3 J t d W x h P C 9 J d G V t V H l w Z T 4 8 S X R l b V B h d G g + U 2 V j d G l v b j E v S 0 R B L 0 F h b m d l c G F z d C U y M G l 0 Z W 0 l M j B 0 b 2 V n Z X Z v Z W d k N j A 8 L 0 l 0 Z W 1 Q Y X R o P j w v S X R l b U x v Y 2 F 0 a W 9 u P j x T d G F i b G V F b n R y a W V z I C 8 + P C 9 J d G V t P j x J d G V t P j x J d G V t T G 9 j Y X R p b 2 4 + P E l 0 Z W 1 U e X B l P k Z v c m 1 1 b G E 8 L 0 l 0 Z W 1 U e X B l P j x J d G V t U G F 0 a D 5 T Z W N 0 a W 9 u M S 9 L R E E v Q W F u Z 2 V w Y X N 0 J T I w a X R l b S U y M H R v Z W d l d m 9 l Z 2 Q 2 M T w v S X R l b V B h d G g + P C 9 J d G V t T G 9 j Y X R p b 2 4 + P F N 0 Y W J s Z U V u d H J p Z X M g L z 4 8 L 0 l 0 Z W 0 + P E l 0 Z W 0 + P E l 0 Z W 1 M b 2 N h d G l v b j 4 8 S X R l b V R 5 c G U + R m 9 y b X V s Y T w v S X R l b V R 5 c G U + P E l 0 Z W 1 Q Y X R o P l N l Y 3 R p b 2 4 x L 0 t E Q S 9 B Y W 5 n Z X B h c 3 Q l M j B p d G V t J T I w d G 9 l Z 2 V 2 b 2 V n Z D Y y P C 9 J d G V t U G F 0 a D 4 8 L 0 l 0 Z W 1 M b 2 N h d G l v b j 4 8 U 3 R h Y m x l R W 5 0 c m l l c y A v P j w v S X R l b T 4 8 S X R l b T 4 8 S X R l b U x v Y 2 F 0 a W 9 u P j x J d G V t V H l w Z T 5 G b 3 J t d W x h P C 9 J d G V t V H l w Z T 4 8 S X R l b V B h d G g + U 2 V j d G l v b j E v S 0 R B L 1 Z v b 3 J 3 Y W F y Z G V s a W p r Z S U y M G t v b G 9 t J T I w a W 5 n Z X Z v Z W d k M z A 8 L 0 l 0 Z W 1 Q Y X R o P j w v S X R l b U x v Y 2 F 0 a W 9 u P j x T d G F i b G V F b n R y a W V z I C 8 + P C 9 J d G V t P j x J d G V t P j x J d G V t T G 9 j Y X R p b 2 4 + P E l 0 Z W 1 U e X B l P k Z v c m 1 1 b G E 8 L 0 l 0 Z W 1 U e X B l P j x J d G V t U G F 0 a D 5 T Z W N 0 a W 9 u M S 9 L R E E v V m 9 v c n d h Y X J k Z W x p a m t l J T I w a 2 9 s b 2 0 l M j B p b m d l d m 9 l Z 2 Q z M T w v S X R l b V B h d G g + P C 9 J d G V t T G 9 j Y X R p b 2 4 + P F N 0 Y W J s Z U V u d H J p Z X M g L z 4 8 L 0 l 0 Z W 0 + P E l 0 Z W 0 + P E l 0 Z W 1 M b 2 N h d G l v b j 4 8 S X R l b V R 5 c G U + R m 9 y b X V s Y T w v S X R l b V R 5 c G U + P E l 0 Z W 1 Q Y X R o P l N l Y 3 R p b 2 4 x L 0 t E Q S 9 W b 2 9 y d 2 F h c m R l b G l q a 2 U l M j B r b 2 x v b S U y M G l u Z 2 V 2 b 2 V n Z D M y P C 9 J d G V t U G F 0 a D 4 8 L 0 l 0 Z W 1 M b 2 N h d G l v b j 4 8 U 3 R h Y m x l R W 5 0 c m l l c y A v P j w v S X R l b T 4 8 S X R l b T 4 8 S X R l b U x v Y 2 F 0 a W 9 u P j x J d G V t V H l w Z T 5 G b 3 J t d W x h P C 9 J d G V t V H l w Z T 4 8 S X R l b V B h d G g + U 2 V j d G l v b j E v S 0 R B L 1 Z v b 3 J 3 Y W F y Z G V s a W p r Z S U y M G t v b G 9 t J T I w a W 5 n Z X Z v Z W d k M z M 8 L 0 l 0 Z W 1 Q Y X R o P j w v S X R l b U x v Y 2 F 0 a W 9 u P j x T d G F i b G V F b n R y a W V z I C 8 + P C 9 J d G V t P j x J d G V t P j x J d G V t T G 9 j Y X R p b 2 4 + P E l 0 Z W 1 U e X B l P k Z v c m 1 1 b G E 8 L 0 l 0 Z W 1 U e X B l P j x J d G V t U G F 0 a D 5 T Z W N 0 a W 9 u M S 9 L R E E v V m 9 v c n d h Y X J k Z W x p a m t l J T I w a 2 9 s b 2 0 l M j B p b m d l d m 9 l Z 2 Q z N D w v S X R l b V B h d G g + P C 9 J d G V t T G 9 j Y X R p b 2 4 + P F N 0 Y W J s Z U V u d H J p Z X M g L z 4 8 L 0 l 0 Z W 0 + P E l 0 Z W 0 + P E l 0 Z W 1 M b 2 N h d G l v b j 4 8 S X R l b V R 5 c G U + R m 9 y b X V s Y T w v S X R l b V R 5 c G U + P E l 0 Z W 1 Q Y X R o P l N l Y 3 R p b 2 4 x L 0 t E Q S 9 W b 2 9 y d 2 F h c m R l b G l q a 2 U l M j B r b 2 x v b S U y M G l u Z 2 V 2 b 2 V n Z D M 1 P C 9 J d G V t U G F 0 a D 4 8 L 0 l 0 Z W 1 M b 2 N h d G l v b j 4 8 U 3 R h Y m x l R W 5 0 c m l l c y A v P j w v S X R l b T 4 8 S X R l b T 4 8 S X R l b U x v Y 2 F 0 a W 9 u P j x J d G V t V H l w Z T 5 G b 3 J t d W x h P C 9 J d G V t V H l w Z T 4 8 S X R l b V B h d G g + U 2 V j d G l v b j E v S 0 R B L 1 Z v b 3 J 3 Y W F y Z G V s a W p r Z S U y M G t v b G 9 t J T I w a W 5 n Z X Z v Z W d k M z Y 8 L 0 l 0 Z W 1 Q Y X R o P j w v S X R l b U x v Y 2 F 0 a W 9 u P j x T d G F i b G V F b n R y a W V z I C 8 + P C 9 J d G V t P j x J d G V t P j x J d G V t T G 9 j Y X R p b 2 4 + P E l 0 Z W 1 U e X B l P k Z v c m 1 1 b G E 8 L 0 l 0 Z W 1 U e X B l P j x J d G V t U G F 0 a D 5 T Z W N 0 a W 9 u M S 9 L R E E v V m 9 v c n d h Y X J k Z W x p a m t l J T I w a 2 9 s b 2 0 l M j B p b m d l d m 9 l Z 2 Q z N z w v S X R l b V B h d G g + P C 9 J d G V t T G 9 j Y X R p b 2 4 + P F N 0 Y W J s Z U V u d H J p Z X M g L z 4 8 L 0 l 0 Z W 0 + P E l 0 Z W 0 + P E l 0 Z W 1 M b 2 N h d G l v b j 4 8 S X R l b V R 5 c G U + R m 9 y b X V s Y T w v S X R l b V R 5 c G U + P E l 0 Z W 1 Q Y X R o P l N l Y 3 R p b 2 4 x L 0 t E Q S 9 W b 2 9 y d 2 F h c m R l b G l q a 2 U l M j B r b 2 x v b S U y M G l u Z 2 V 2 b 2 V n Z D M 4 P C 9 J d G V t U G F 0 a D 4 8 L 0 l 0 Z W 1 M b 2 N h d G l v b j 4 8 U 3 R h Y m x l R W 5 0 c m l l c y A v P j w v S X R l b T 4 8 S X R l b T 4 8 S X R l b U x v Y 2 F 0 a W 9 u P j x J d G V t V H l w Z T 5 G b 3 J t d W x h P C 9 J d G V t V H l w Z T 4 8 S X R l b V B h d G g + U 2 V j d G l v b j E v S 0 R B L 1 Z v b 3 J 3 Y W F y Z G V s a W p r Z S U y M G t v b G 9 t J T I w a W 5 n Z X Z v Z W d k M z k 8 L 0 l 0 Z W 1 Q Y X R o P j w v S X R l b U x v Y 2 F 0 a W 9 u P j x T d G F i b G V F b n R y a W V z I C 8 + P C 9 J d G V t P j x J d G V t P j x J d G V t T G 9 j Y X R p b 2 4 + P E l 0 Z W 1 U e X B l P k Z v c m 1 1 b G E 8 L 0 l 0 Z W 1 U e X B l P j x J d G V t U G F 0 a D 5 T Z W N 0 a W 9 u M S 9 L R E E v V m 9 v c n d h Y X J k Z W x p a m t l J T I w a 2 9 s b 2 0 l M j B p b m d l d m 9 l Z 2 Q 0 M D w v S X R l b V B h d G g + P C 9 J d G V t T G 9 j Y X R p b 2 4 + P F N 0 Y W J s Z U V u d H J p Z X M g L z 4 8 L 0 l 0 Z W 0 + P E l 0 Z W 0 + P E l 0 Z W 1 M b 2 N h d G l v b j 4 8 S X R l b V R 5 c G U + R m 9 y b X V s Y T w v S X R l b V R 5 c G U + P E l 0 Z W 1 Q Y X R o P l N l Y 3 R p b 2 4 x L 0 t E Q S 9 W b 2 9 y d 2 F h c m R l b G l q a 2 U l M j B r b 2 x v b S U y M G l u Z 2 V 2 b 2 V n Z D Q x P C 9 J d G V t U G F 0 a D 4 8 L 0 l 0 Z W 1 M b 2 N h d G l v b j 4 8 U 3 R h Y m x l R W 5 0 c m l l c y A v P j w v S X R l b T 4 8 S X R l b T 4 8 S X R l b U x v Y 2 F 0 a W 9 u P j x J d G V t V H l w Z T 5 G b 3 J t d W x h P C 9 J d G V t V H l w Z T 4 8 S X R l b V B h d G g + U 2 V j d G l v b j E v S 0 R B L 1 Z v b 3 J 3 Y W F y Z G V s a W p r Z S U y M G t v b G 9 t J T I w a W 5 n Z X Z v Z W d k N D I 8 L 0 l 0 Z W 1 Q Y X R o P j w v S X R l b U x v Y 2 F 0 a W 9 u P j x T d G F i b G V F b n R y a W V z I C 8 + P C 9 J d G V t P j x J d G V t P j x J d G V t T G 9 j Y X R p b 2 4 + P E l 0 Z W 1 U e X B l P k Z v c m 1 1 b G E 8 L 0 l 0 Z W 1 U e X B l P j x J d G V t U G F 0 a D 5 T Z W N 0 a W 9 u M S 9 L R E E v V m 9 v c n d h Y X J k Z W x p a m t l J T I w a 2 9 s b 2 0 l M j B p b m d l d m 9 l Z 2 Q 0 M z w v S X R l b V B h d G g + P C 9 J d G V t T G 9 j Y X R p b 2 4 + P F N 0 Y W J s Z U V u d H J p Z X M g L z 4 8 L 0 l 0 Z W 0 + P E l 0 Z W 0 + P E l 0 Z W 1 M b 2 N h d G l v b j 4 8 S X R l b V R 5 c G U + R m 9 y b X V s Y T w v S X R l b V R 5 c G U + P E l 0 Z W 1 Q Y X R o P l N l Y 3 R p b 2 4 x L 0 t E Q S 9 W b 2 9 y d 2 F h c m R l b G l q a 2 U l M j B r b 2 x v b S U y M G l u Z 2 V 2 b 2 V n Z D Q 0 P C 9 J d G V t U G F 0 a D 4 8 L 0 l 0 Z W 1 M b 2 N h d G l v b j 4 8 U 3 R h Y m x l R W 5 0 c m l l c y A v P j w v S X R l b T 4 8 S X R l b T 4 8 S X R l b U x v Y 2 F 0 a W 9 u P j x J d G V t V H l w Z T 5 G b 3 J t d W x h P C 9 J d G V t V H l w Z T 4 8 S X R l b V B h d G g + U 2 V j d G l v b j E v S 0 R B L 1 Z v b 3 J 3 Y W F y Z G V s a W p r Z S U y M G t v b G 9 t J T I w a W 5 n Z X Z v Z W d k N D U 8 L 0 l 0 Z W 1 Q Y X R o P j w v S X R l b U x v Y 2 F 0 a W 9 u P j x T d G F i b G V F b n R y a W V z I C 8 + P C 9 J d G V t P j x J d G V t P j x J d G V t T G 9 j Y X R p b 2 4 + P E l 0 Z W 1 U e X B l P k Z v c m 1 1 b G E 8 L 0 l 0 Z W 1 U e X B l P j x J d G V t U G F 0 a D 5 T Z W N 0 a W 9 u M S 9 L R E E v V m 9 v c n d h Y X J k Z W x p a m t l J T I w a 2 9 s b 2 0 l M j B p b m d l d m 9 l Z 2 Q 0 N j w v S X R l b V B h d G g + P C 9 J d G V t T G 9 j Y X R p b 2 4 + P F N 0 Y W J s Z U V u d H J p Z X M g L z 4 8 L 0 l 0 Z W 0 + P E l 0 Z W 0 + P E l 0 Z W 1 M b 2 N h d G l v b j 4 8 S X R l b V R 5 c G U + R m 9 y b X V s Y T w v S X R l b V R 5 c G U + P E l 0 Z W 1 Q Y X R o P l N l Y 3 R p b 2 4 x L 0 t E Q S 9 W b 2 9 y d 2 F h c m R l b G l q a 2 U l M j B r b 2 x v b S U y M G l u Z 2 V 2 b 2 V n Z D Q 3 P C 9 J d G V t U G F 0 a D 4 8 L 0 l 0 Z W 1 M b 2 N h d G l v b j 4 8 U 3 R h Y m x l R W 5 0 c m l l c y A v P j w v S X R l b T 4 8 S X R l b T 4 8 S X R l b U x v Y 2 F 0 a W 9 u P j x J d G V t V H l w Z T 5 G b 3 J t d W x h P C 9 J d G V t V H l w Z T 4 8 S X R l b V B h d G g + U 2 V j d G l v b j E v S 0 R B L 1 Z v b 3 J 3 Y W F y Z G V s a W p r Z S U y M G t v b G 9 t J T I w a W 5 n Z X Z v Z W d k N D g 8 L 0 l 0 Z W 1 Q Y X R o P j w v S X R l b U x v Y 2 F 0 a W 9 u P j x T d G F i b G V F b n R y a W V z I C 8 + P C 9 J d G V t P j x J d G V t P j x J d G V t T G 9 j Y X R p b 2 4 + P E l 0 Z W 1 U e X B l P k Z v c m 1 1 b G E 8 L 0 l 0 Z W 1 U e X B l P j x J d G V t U G F 0 a D 5 T Z W N 0 a W 9 u M S 9 L R E E v V m 9 v c n d h Y X J k Z W x p a m t l J T I w a 2 9 s b 2 0 l M j B p b m d l d m 9 l Z 2 Q 0 O T w v S X R l b V B h d G g + P C 9 J d G V t T G 9 j Y X R p b 2 4 + P F N 0 Y W J s Z U V u d H J p Z X M g L z 4 8 L 0 l 0 Z W 0 + P E l 0 Z W 0 + P E l 0 Z W 1 M b 2 N h d G l v b j 4 8 S X R l b V R 5 c G U + R m 9 y b X V s Y T w v S X R l b V R 5 c G U + P E l 0 Z W 1 Q Y X R o P l N l Y 3 R p b 2 4 x L 0 t E Q S 9 W b 2 9 y d 2 F h c m R l b G l q a 2 U l M j B r b 2 x v b S U y M G l u Z 2 V 2 b 2 V n Z D U w P C 9 J d G V t U G F 0 a D 4 8 L 0 l 0 Z W 1 M b 2 N h d G l v b j 4 8 U 3 R h Y m x l R W 5 0 c m l l c y A v P j w v S X R l b T 4 8 S X R l b T 4 8 S X R l b U x v Y 2 F 0 a W 9 u P j x J d G V t V H l w Z T 5 G b 3 J t d W x h P C 9 J d G V t V H l w Z T 4 8 S X R l b V B h d G g + U 2 V j d G l v b j E v S 0 R B L 1 Z v b 3 J 3 Y W F y Z G V s a W p r Z S U y M G t v b G 9 t J T I w a W 5 n Z X Z v Z W d k N T E 8 L 0 l 0 Z W 1 Q Y X R o P j w v S X R l b U x v Y 2 F 0 a W 9 u P j x T d G F i b G V F b n R y a W V z I C 8 + P C 9 J d G V t P j x J d G V t P j x J d G V t T G 9 j Y X R p b 2 4 + P E l 0 Z W 1 U e X B l P k Z v c m 1 1 b G E 8 L 0 l 0 Z W 1 U e X B l P j x J d G V t U G F 0 a D 5 T Z W N 0 a W 9 u M S 9 L R E E v V m 9 v c n d h Y X J k Z W x p a m t l J T I w a 2 9 s b 2 0 l M j B p b m d l d m 9 l Z 2 Q 1 M j w v S X R l b V B h d G g + P C 9 J d G V t T G 9 j Y X R p b 2 4 + P F N 0 Y W J s Z U V u d H J p Z X M g L z 4 8 L 0 l 0 Z W 0 + P E l 0 Z W 0 + P E l 0 Z W 1 M b 2 N h d G l v b j 4 8 S X R l b V R 5 c G U + R m 9 y b X V s Y T w v S X R l b V R 5 c G U + P E l 0 Z W 1 Q Y X R o P l N l Y 3 R p b 2 4 x L 0 t E Q S 9 W b 2 9 y d 2 F h c m R l b G l q a 2 U l M j B r b 2 x v b S U y M G l u Z 2 V 2 b 2 V n Z D U z P C 9 J d G V t U G F 0 a D 4 8 L 0 l 0 Z W 1 M b 2 N h d G l v b j 4 8 U 3 R h Y m x l R W 5 0 c m l l c y A v P j w v S X R l b T 4 8 S X R l b T 4 8 S X R l b U x v Y 2 F 0 a W 9 u P j x J d G V t V H l w Z T 5 G b 3 J t d W x h P C 9 J d G V t V H l w Z T 4 8 S X R l b V B h d G g + U 2 V j d G l v b j E v S 0 R B L 1 Z v b 3 J 3 Y W F y Z G V s a W p r Z S U y M G t v b G 9 t J T I w a W 5 n Z X Z v Z W d k N T Q 8 L 0 l 0 Z W 1 Q Y X R o P j w v S X R l b U x v Y 2 F 0 a W 9 u P j x T d G F i b G V F b n R y a W V z I C 8 + P C 9 J d G V t P j x J d G V t P j x J d G V t T G 9 j Y X R p b 2 4 + P E l 0 Z W 1 U e X B l P k Z v c m 1 1 b G E 8 L 0 l 0 Z W 1 U e X B l P j x J d G V t U G F 0 a D 5 T Z W N 0 a W 9 u M S 9 L R E E v V m 9 v c n d h Y X J k Z W x p a m t l J T I w a 2 9 s b 2 0 l M j B p b m d l d m 9 l Z 2 Q 1 N T w v S X R l b V B h d G g + P C 9 J d G V t T G 9 j Y X R p b 2 4 + P F N 0 Y W J s Z U V u d H J p Z X M g L z 4 8 L 0 l 0 Z W 0 + P E l 0 Z W 0 + P E l 0 Z W 1 M b 2 N h d G l v b j 4 8 S X R l b V R 5 c G U + R m 9 y b X V s Y T w v S X R l b V R 5 c G U + P E l 0 Z W 1 Q Y X R o P l N l Y 3 R p b 2 4 x L 0 t E Q S 9 W b 2 9 y d 2 F h c m R l b G l q a 2 U l M j B r b 2 x v b S U y M G l u Z 2 V 2 b 2 V n Z D U 2 P C 9 J d G V t U G F 0 a D 4 8 L 0 l 0 Z W 1 M b 2 N h d G l v b j 4 8 U 3 R h Y m x l R W 5 0 c m l l c y A v P j w v S X R l b T 4 8 S X R l b T 4 8 S X R l b U x v Y 2 F 0 a W 9 u P j x J d G V t V H l w Z T 5 G b 3 J t d W x h P C 9 J d G V t V H l w Z T 4 8 S X R l b V B h d G g + U 2 V j d G l v b j E v S 0 R B L 1 Z v b 3 J 3 Y W F y Z G V s a W p r Z S U y M G t v b G 9 t J T I w a W 5 n Z X Z v Z W d k N T c 8 L 0 l 0 Z W 1 Q Y X R o P j w v S X R l b U x v Y 2 F 0 a W 9 u P j x T d G F i b G V F b n R y a W V z I C 8 + P C 9 J d G V t P j x J d G V t P j x J d G V t T G 9 j Y X R p b 2 4 + P E l 0 Z W 1 U e X B l P k Z v c m 1 1 b G E 8 L 0 l 0 Z W 1 U e X B l P j x J d G V t U G F 0 a D 5 T Z W N 0 a W 9 u M S 9 L R E E v V m 9 v c n d h Y X J k Z W x p a m t l J T I w a 2 9 s b 2 0 l M j B p b m d l d m 9 l Z 2 Q 1 O D w v S X R l b V B h d G g + P C 9 J d G V t T G 9 j Y X R p b 2 4 + P F N 0 Y W J s Z U V u d H J p Z X M g L z 4 8 L 0 l 0 Z W 0 + P E l 0 Z W 0 + P E l 0 Z W 1 M b 2 N h d G l v b j 4 8 S X R l b V R 5 c G U + R m 9 y b X V s Y T w v S X R l b V R 5 c G U + P E l 0 Z W 1 Q Y X R o P l N l Y 3 R p b 2 4 x L 0 t E Q S 9 W b 2 9 y d 2 F h c m R l b G l q a 2 U l M j B r b 2 x v b S U y M G l u Z 2 V 2 b 2 V n Z D U 5 P C 9 J d G V t U G F 0 a D 4 8 L 0 l 0 Z W 1 M b 2 N h d G l v b j 4 8 U 3 R h Y m x l R W 5 0 c m l l c y A v P j w v S X R l b T 4 8 S X R l b T 4 8 S X R l b U x v Y 2 F 0 a W 9 u P j x J d G V t V H l w Z T 5 G b 3 J t d W x h P C 9 J d G V t V H l w Z T 4 8 S X R l b V B h d G g + U 2 V j d G l v b j E v S 0 R B L 0 F h b m d l c G F z d C U y M G l 0 Z W 0 l M j B 0 b 2 V n Z X Z v Z W d k J T I w M T w v S X R l b V B h d G g + P C 9 J d G V t T G 9 j Y X R p b 2 4 + P F N 0 Y W J s Z U V u d H J p Z X M g L z 4 8 L 0 l 0 Z W 0 + P E l 0 Z W 0 + P E l 0 Z W 1 M b 2 N h d G l v b j 4 8 S X R l b V R 5 c G U + R m 9 y b X V s Y T w v S X R l b V R 5 c G U + P E l 0 Z W 1 Q Y X R o P l N l Y 3 R p b 2 4 x L 0 t E Q S 9 B Y W 5 n Z X B h c 3 Q l M j B p d G V t J T I w d G 9 l Z 2 V 2 b 2 V n Z C U y M D I 8 L 0 l 0 Z W 1 Q Y X R o P j w v S X R l b U x v Y 2 F 0 a W 9 u P j x T d G F i b G V F b n R y a W V z I C 8 + P C 9 J d G V t P j x J d G V t P j x J d G V t T G 9 j Y X R p b 2 4 + P E l 0 Z W 1 U e X B l P k Z v c m 1 1 b G E 8 L 0 l 0 Z W 1 U e X B l P j x J d G V t U G F 0 a D 5 T Z W N 0 a W 9 u M S 9 L R E E v Q W F u Z 2 V w Y X N 0 J T I w a X R l b S U y M H R v Z W d l d m 9 l Z 2 Q l M j A z P C 9 J d G V t U G F 0 a D 4 8 L 0 l 0 Z W 1 M b 2 N h d G l v b j 4 8 U 3 R h Y m x l R W 5 0 c m l l c y A v P j w v S X R l b T 4 8 S X R l b T 4 8 S X R l b U x v Y 2 F 0 a W 9 u P j x J d G V t V H l w Z T 5 G b 3 J t d W x h P C 9 J d G V t V H l w Z T 4 8 S X R l b V B h d G g + U 2 V j d G l v b j E v S 0 R B L 0 F h b m d l c G F z d C U y M G l 0 Z W 0 l M j B 0 b 2 V n Z X Z v Z W d k J T I w N D w v S X R l b V B h d G g + P C 9 J d G V t T G 9 j Y X R p b 2 4 + P F N 0 Y W J s Z U V u d H J p Z X M g L z 4 8 L 0 l 0 Z W 0 + P E l 0 Z W 0 + P E l 0 Z W 1 M b 2 N h d G l v b j 4 8 S X R l b V R 5 c G U + R m 9 y b X V s Y T w v S X R l b V R 5 c G U + P E l 0 Z W 1 Q Y X R o P l N l Y 3 R p b 2 4 x L 0 t E Q S 9 L b 2 x v b W 1 l b i U y M H Z l c n d p a m R l c m Q l M j A y P C 9 J d G V t U G F 0 a D 4 8 L 0 l 0 Z W 1 M b 2 N h d G l v b j 4 8 U 3 R h Y m x l R W 5 0 c m l l c y A v P j w v S X R l b T 4 8 S X R l b T 4 8 S X R l b U x v Y 2 F 0 a W 9 u P j x J d G V t V H l w Z T 5 G b 3 J t d W x h P C 9 J d G V t V H l w Z T 4 8 S X R l b V B h d G g + U 2 V j d G l v b j E v S 0 R B L 0 5 h b W V u J T I w d m F u J T I w a 2 9 s b 2 1 t Z W 4 l M j B n Z X d p a n p p Z 2 Q l M j A 4 P C 9 J d G V t U G F 0 a D 4 8 L 0 l 0 Z W 1 M b 2 N h d G l v b j 4 8 U 3 R h Y m x l R W 5 0 c m l l c y A v P j w v S X R l b T 4 8 S X R l b T 4 8 S X R l b U x v Y 2 F 0 a W 9 u P j x J d G V t V H l w Z T 5 G b 3 J t d W x h P C 9 J d G V t V H l w Z T 4 8 S X R l b V B h d G g + U 2 V j d G l v b j E v S 0 R B L 1 d h Y X J k Z S U y M G l z J T I w d m V y d m F u Z 2 V u P C 9 J d G V t U G F 0 a D 4 8 L 0 l 0 Z W 1 M b 2 N h d G l v b j 4 8 U 3 R h Y m x l R W 5 0 c m l l c y A v P j w v S X R l b T 4 8 S X R l b T 4 8 S X R l b U x v Y 2 F 0 a W 9 u P j x J d G V t V H l w Z T 5 G b 3 J t d W x h P C 9 J d G V t V H l w Z T 4 8 S X R l b V B h d G g + U 2 V j d G l v b j E v S 0 R B L 1 d h Y X J k Z S U y M G l z J T I w d m V y d m F u Z 2 V u J T I w O T w v S X R l b V B h d G g + P C 9 J d G V t T G 9 j Y X R p b 2 4 + P F N 0 Y W J s Z U V u d H J p Z X M g L z 4 8 L 0 l 0 Z W 0 + P E l 0 Z W 0 + P E l 0 Z W 1 M b 2 N h d G l v b j 4 8 S X R l b V R 5 c G U + R m 9 y b X V s Y T w v S X R l b V R 5 c G U + P E l 0 Z W 1 Q Y X R o P l N l Y 3 R p b 2 4 x L 0 t E Q S 9 L b 2 x v b S U y M H N w b G l 0 c 2 V u J T I w b 3 A l M j B z Y 2 h l a W R p b m d z d G V r Z W 4 8 L 0 l 0 Z W 1 Q Y X R o P j w v S X R l b U x v Y 2 F 0 a W 9 u P j x T d G F i b G V F b n R y a W V z I C 8 + P C 9 J d G V t P j x J d G V t P j x J d G V t T G 9 j Y X R p b 2 4 + P E l 0 Z W 1 U e X B l P k Z v c m 1 1 b G E 8 L 0 l 0 Z W 1 U e X B l P j x J d G V t U G F 0 a D 5 T Z W N 0 a W 9 u M S 9 L R E E v V 2 F h c m R l J T I w a X M l M j B 2 Z X J 2 Y W 5 n Z W 4 l M j A x P C 9 J d G V t U G F 0 a D 4 8 L 0 l 0 Z W 1 M b 2 N h d G l v b j 4 8 U 3 R h Y m x l R W 5 0 c m l l c y A v P j w v S X R l b T 4 8 S X R l b T 4 8 S X R l b U x v Y 2 F 0 a W 9 u P j x J d G V t V H l w Z T 5 G b 3 J t d W x h P C 9 J d G V t V H l w Z T 4 8 S X R l b V B h d G g + U 2 V j d G l v b j E v S 0 R B L 1 d h Y X J k Z S U y M G l z J T I w d m V y d m F u Z 2 V u J T I w M j w v S X R l b V B h d G g + P C 9 J d G V t T G 9 j Y X R p b 2 4 + P F N 0 Y W J s Z U V u d H J p Z X M g L z 4 8 L 0 l 0 Z W 0 + P E l 0 Z W 0 + P E l 0 Z W 1 M b 2 N h d G l v b j 4 8 S X R l b V R 5 c G U + R m 9 y b X V s Y T w v S X R l b V R 5 c G U + P E l 0 Z W 1 Q Y X R o P l N l Y 3 R p b 2 4 x L 0 t E Q S 9 O Y W 1 l b i U y M H Z h b i U y M G t v b G 9 t b W V u J T I w Z 2 V 3 a W p 6 a W d k P C 9 J d G V t U G F 0 a D 4 8 L 0 l 0 Z W 1 M b 2 N h d G l v b j 4 8 U 3 R h Y m x l R W 5 0 c m l l c y A v P j w v S X R l b T 4 8 S X R l b T 4 8 S X R l b U x v Y 2 F 0 a W 9 u P j x J d G V t V H l w Z T 5 G b 3 J t d W x h P C 9 J d G V t V H l w Z T 4 8 S X R l b V B h d G g + U 2 V j d G l v b j E v S 0 R B L 0 5 h b W V u J T I w d m F u J T I w a 2 9 s b 2 1 t Z W 4 l M j B n Z X d p a n p p Z 2 Q l M j A z P C 9 J d G V t U G F 0 a D 4 8 L 0 l 0 Z W 1 M b 2 N h d G l v b j 4 8 U 3 R h Y m x l R W 5 0 c m l l c y A v P j w v S X R l b T 4 8 S X R l b T 4 8 S X R l b U x v Y 2 F 0 a W 9 u P j x J d G V t V H l w Z T 5 G b 3 J t d W x h P C 9 J d G V t V H l w Z T 4 8 S X R l b V B h d G g + U 2 V j d G l v b j E v S 0 R B L 1 d h Y X J k Z S U y M G l z J T I w d m V y d m F u Z 2 V u J T I w M z w v S X R l b V B h d G g + P C 9 J d G V t T G 9 j Y X R p b 2 4 + P F N 0 Y W J s Z U V u d H J p Z X M g L z 4 8 L 0 l 0 Z W 0 + P E l 0 Z W 0 + P E l 0 Z W 1 M b 2 N h d G l v b j 4 8 S X R l b V R 5 c G U + R m 9 y b X V s Y T w v S X R l b V R 5 c G U + P E l 0 Z W 1 Q Y X R o P l N l Y 3 R p b 2 4 x L 0 t E Q S 9 X Y W F y Z G U l M j B p c y U y M H Z l c n Z h b m d l b i U y M D Q 8 L 0 l 0 Z W 1 Q Y X R o P j w v S X R l b U x v Y 2 F 0 a W 9 u P j x T d G F i b G V F b n R y a W V z I C 8 + P C 9 J d G V t P j x J d G V t P j x J d G V t T G 9 j Y X R p b 2 4 + P E l 0 Z W 1 U e X B l P k Z v c m 1 1 b G E 8 L 0 l 0 Z W 1 U e X B l P j x J d G V t U G F 0 a D 5 T Z W N 0 a W 9 u M S 9 L R E E v T m F t Z W 4 l M j B 2 Y W 4 l M j B r b 2 x v b W 1 l b i U y M G d l d 2 l q e m l n Z C U y M D Q 8 L 0 l 0 Z W 1 Q Y X R o P j w v S X R l b U x v Y 2 F 0 a W 9 u P j x T d G F i b G V F b n R y a W V z I C 8 + P C 9 J d G V t P j x J d G V t P j x J d G V t T G 9 j Y X R p b 2 4 + P E l 0 Z W 1 U e X B l P k Z v c m 1 1 b G E 8 L 0 l 0 Z W 1 U e X B l P j x J d G V t U G F 0 a D 5 T Z W N 0 a W 9 u M S 9 L R E E v T m F t Z W 4 l M j B 2 Y W 4 l M j B r b 2 x v b W 1 l b i U y M G d l d 2 l q e m l n Z C U y M D U 8 L 0 l 0 Z W 1 Q Y X R o P j w v S X R l b U x v Y 2 F 0 a W 9 u P j x T d G F i b G V F b n R y a W V z I C 8 + P C 9 J d G V t P j x J d G V t P j x J d G V t T G 9 j Y X R p b 2 4 + P E l 0 Z W 1 U e X B l P k Z v c m 1 1 b G E 8 L 0 l 0 Z W 1 U e X B l P j x J d G V t U G F 0 a D 5 T Z W N 0 a W 9 u M S 9 L R E E v S 2 9 s b 2 1 t Z W 4 l M j B z Y W 1 l b m d l d m 9 l Z 2 Q 8 L 0 l 0 Z W 1 Q Y X R o P j w v S X R l b U x v Y 2 F 0 a W 9 u P j x T d G F i b G V F b n R y a W V z I C 8 + P C 9 J d G V t P j x J d G V t P j x J d G V t T G 9 j Y X R p b 2 4 + P E l 0 Z W 1 U e X B l P k Z v c m 1 1 b G E 8 L 0 l 0 Z W 1 U e X B l P j x J d G V t U G F 0 a D 5 T Z W N 0 a W 9 u M S 9 L R E E v S 2 9 s b 2 1 t Z W 4 l M j B z Y W 1 l b m d l d m 9 l Z 2 Q l M j A x P C 9 J d G V t U G F 0 a D 4 8 L 0 l 0 Z W 1 M b 2 N h d G l v b j 4 8 U 3 R h Y m x l R W 5 0 c m l l c y A v P j w v S X R l b T 4 8 S X R l b T 4 8 S X R l b U x v Y 2 F 0 a W 9 u P j x J d G V t V H l w Z T 5 G b 3 J t d W x h P C 9 J d G V t V H l w Z T 4 8 S X R l b V B h d G g + U 2 V j d G l v b j E v S 0 R B L 0 t v b G 9 t b W V u J T I w c 2 F t Z W 5 n Z X Z v Z W d k J T I w M j w v S X R l b V B h d G g + P C 9 J d G V t T G 9 j Y X R p b 2 4 + P F N 0 Y W J s Z U V u d H J p Z X M g L z 4 8 L 0 l 0 Z W 0 + P E l 0 Z W 0 + P E l 0 Z W 1 M b 2 N h d G l v b j 4 8 S X R l b V R 5 c G U + R m 9 y b X V s Y T w v S X R l b V R 5 c G U + P E l 0 Z W 1 Q Y X R o P l N l Y 3 R p b 2 4 x L 0 t E Q S 9 O Y W 1 l b i U y M H Z h b i U y M G t v b G 9 t b W V u J T I w Z 2 V 3 a W p 6 a W d k J T I w N j w v S X R l b V B h d G g + P C 9 J d G V t T G 9 j Y X R p b 2 4 + P F N 0 Y W J s Z U V u d H J p Z X M g L z 4 8 L 0 l 0 Z W 0 + P E l 0 Z W 0 + P E l 0 Z W 1 M b 2 N h d G l v b j 4 8 S X R l b V R 5 c G U + R m 9 y b X V s Y T w v S X R l b V R 5 c G U + P E l 0 Z W 1 Q Y X R o P l N l Y 3 R p b 2 4 x L 0 t E Q S 9 O Y W 1 l b i U y M H Z h b i U y M G t v b G 9 t b W V u J T I w Z 2 V 3 a W p 6 a W d k J T I w N z w v S X R l b V B h d G g + P C 9 J d G V t T G 9 j Y X R p b 2 4 + P F N 0 Y W J s Z U V u d H J p Z X M g L z 4 8 L 0 l 0 Z W 0 + P E l 0 Z W 0 + P E l 0 Z W 1 M b 2 N h d G l v b j 4 8 S X R l b V R 5 c G U + R m 9 y b X V s Y T w v S X R l b V R 5 c G U + P E l 0 Z W 1 Q Y X R o P l N l Y 3 R p b 2 4 x L 0 t E Q S 9 X Y W F y Z G U l M j B p c y U y M H Z l c n Z h b m d l b i U y M D c 8 L 0 l 0 Z W 1 Q Y X R o P j w v S X R l b U x v Y 2 F 0 a W 9 u P j x T d G F i b G V F b n R y a W V z I C 8 + P C 9 J d G V t P j x J d G V t P j x J d G V t T G 9 j Y X R p b 2 4 + P E l 0 Z W 1 U e X B l P k Z v c m 1 1 b G E 8 L 0 l 0 Z W 1 U e X B l P j x J d G V t U G F 0 a D 5 T Z W N 0 a W 9 u M S 9 L R E E v V 2 F h c m R l J T I w a X M l M j B 2 Z X J 2 Y W 5 n Z W 4 l M j A 4 P C 9 J d G V t U G F 0 a D 4 8 L 0 l 0 Z W 1 M b 2 N h d G l v b j 4 8 U 3 R h Y m x l R W 5 0 c m l l c y A v P j w v S X R l b T 4 8 S X R l b T 4 8 S X R l b U x v Y 2 F 0 a W 9 u P j x J d G V t V H l w Z T 5 G b 3 J t d W x h P C 9 J d G V t V H l w Z T 4 8 S X R l b V B h d G g + U 2 V j d G l v b j E v S 0 R B L 1 Z v b G d v c m R l J T I w d m F u J T I w a 2 9 s b 2 1 t Z W 4 l M j B n Z X d p a n p p Z 2 Q 8 L 0 l 0 Z W 1 Q Y X R o P j w v S X R l b U x v Y 2 F 0 a W 9 u P j x T d G F i b G V F b n R y a W V z I C 8 + P C 9 J d G V t P j x J d G V t P j x J d G V t T G 9 j Y X R p b 2 4 + P E l 0 Z W 1 U e X B l P k Z v c m 1 1 b G E 8 L 0 l 0 Z W 1 U e X B l P j x J d G V t U G F 0 a D 5 T Z W N 0 a W 9 u M S 9 L R E E v T m F t Z W 4 l M j B 2 Y W 4 l M j B r b 2 x v b W 1 l b i U y M G d l d 2 l q e m l n Z C U y M D k 8 L 0 l 0 Z W 1 Q Y X R o P j w v S X R l b U x v Y 2 F 0 a W 9 u P j x T d G F i b G V F b n R y a W V z I C 8 + P C 9 J d G V t P j x J d G V t P j x J d G V t T G 9 j Y X R p b 2 4 + P E l 0 Z W 1 U e X B l P k Z v c m 1 1 b G E 8 L 0 l 0 Z W 1 U e X B l P j x J d G V t U G F 0 a D 5 T Z W N 0 a W 9 u M S 9 L R E E v S G V 0 J T I w a 2 9 s b 2 1 0 e X B l J T I w a X M l M j B n Z X d p a n p p Z 2 Q l M j A x P C 9 J d G V t U G F 0 a D 4 8 L 0 l 0 Z W 1 M b 2 N h d G l v b j 4 8 U 3 R h Y m x l R W 5 0 c m l l c y A v P j w v S X R l b T 4 8 S X R l b T 4 8 S X R l b U x v Y 2 F 0 a W 9 u P j x J d G V t V H l w Z T 5 G b 3 J t d W x h P C 9 J d G V t V H l w Z T 4 8 S X R l b V B h d G g + U 2 V j d G l v b j E v S 0 R B L 0 d l c 2 9 y d G V l c m R l J T I w c m l q Z W 4 8 L 0 l 0 Z W 1 Q Y X R o P j w v S X R l b U x v Y 2 F 0 a W 9 u P j x T d G F i b G V F b n R y a W V z I C 8 + P C 9 J d G V t P j x J d G V t P j x J d G V t T G 9 j Y X R p b 2 4 + P E l 0 Z W 1 U e X B l P k Z v c m 1 1 b G E 8 L 0 l 0 Z W 1 U e X B l P j x J d G V t U G F 0 a D 5 T Z W N 0 a W 9 u M S 9 G U 0 Q v S 2 9 s b 2 1 t Z W 4 l M j B 2 Z X J 3 a W p k Z X J k J T I w M z w v S X R l b V B h d G g + P C 9 J d G V t T G 9 j Y X R p b 2 4 + P F N 0 Y W J s Z U V u d H J p Z X M g L z 4 8 L 0 l 0 Z W 0 + P E l 0 Z W 0 + P E l 0 Z W 1 M b 2 N h d G l v b j 4 8 S X R l b V R 5 c G U + R m 9 y b X V s Y T w v S X R l b V R 5 c G U + P E l 0 Z W 1 Q Y X R o P l N l Y 3 R p b 2 4 x L 0 Z T R C 9 I Z X Q l M j B r b 2 x v b X R 5 c G U l M j B p c y U y M G d l d 2 l q e m l n Z C U y M D I 8 L 0 l 0 Z W 1 Q Y X R o P j w v S X R l b U x v Y 2 F 0 a W 9 u P j x T d G F i b G V F b n R y a W V z I C 8 + P C 9 J d G V t P j x J d G V t P j x J d G V t T G 9 j Y X R p b 2 4 + P E l 0 Z W 1 U e X B l P k Z v c m 1 1 b G E 8 L 0 l 0 Z W 1 U e X B l P j x J d G V t U G F 0 a D 5 T Z W N 0 a W 9 u M S 9 L c m l u Z 2 R h Z 2 V u P C 9 J d G V t U G F 0 a D 4 8 L 0 l 0 Z W 1 M b 2 N h d G l v b j 4 8 U 3 R h Y m x l R W 5 0 c m l l c z 4 8 R W 5 0 c n k g V H l w Z T 0 i S X N Q c m l 2 Y X R l I i B W Y W x 1 Z T 0 i b D A i I C 8 + P E V u d H J 5 I F R 5 c G U 9 I k x v Y W R U b 1 J l c G 9 y d E R p c 2 F i b G V k I i B W Y W x 1 Z T 0 i b D A i I C 8 + P E V u d H J 5 I F R 5 c G U 9 I k Z p b G x F b m F i b G V k I i B W Y W x 1 Z T 0 i b D E i I C 8 + P E V u d H J 5 I F R 5 c G U 9 I k Z p b G x P Y m p l Y 3 R U e X B l I i B W Y W x 1 Z T 0 i c 1 R h Y m x l I i A v P j x F b n R y e S B U e X B l P S J G a W x s V G 9 E Y X R h T W 9 k Z W x F b m F i b G V k I i B W Y W x 1 Z T 0 i b D A i I C 8 + P E V u d H J 5 I F R 5 c G U 9 I l F 1 Z X J 5 S U Q i I F Z h b H V l P S J z N T c 1 O T V k M 2 E t Y j d i M S 0 0 M G U 5 L W I 5 O W I t Y z Y y N T Q 0 M G E 4 O T c 3 I i A v P j x F b n R y e S B U e X B l P S J S Z X N 1 b H R U e X B l I i B W Y W x 1 Z T 0 i c 1 R h Y m x l I i A v P j x F b n R y e S B U e X B l P S J O Y W 1 l V X B k Y X R l Z E F m d G V y R m l s b C I g V m F s d W U 9 I m w w I i A v P j x F b n R y e S B U e X B l P S J G a W x s V G F y Z 2 V 0 I i B W Y W x 1 Z T 0 i c 0 t y a W 5 n Z G F n Z W 5 f I i A v P j x F b n R y e S B U e X B l P S J G a W x s Z W R D b 2 1 w b G V 0 Z V J l c 3 V s d F R v V 2 9 y a 3 N o Z W V 0 I i B W Y W x 1 Z T 0 i b D E i I C 8 + P E V u d H J 5 I F R 5 c G U 9 I k J 1 Z m Z l c k 5 l e H R S Z W Z y Z X N o I i B W Y W x 1 Z T 0 i b D E i I C 8 + P E V u d H J 5 I F R 5 c G U 9 I k Z p b G x F c n J v c k N v d W 5 0 I i B W Y W x 1 Z T 0 i b D A i I C 8 + P E V u d H J 5 I F R 5 c G U 9 I k Z p b G x F c n J v c k N v Z G U i I F Z h b H V l P S J z V W 5 r b m 9 3 b i I g L z 4 8 R W 5 0 c n k g V H l w Z T 0 i R m l s b E x h c 3 R V c G R h d G V k I i B W Y W x 1 Z T 0 i Z D I w M j Y t M D I t M D h U M T A 6 M T g 6 N D Q u N T A 4 M z c x M F o i I C 8 + P E V u d H J 5 I F R 5 c G U 9 I k Z p b G x D b 3 V u d C I g V m F s d W U 9 I m w 5 O S I g L z 4 8 R W 5 0 c n k g V H l w Z T 0 i R m l s b E N v b H V t b l R 5 c G V z I i B W Y W x 1 Z T 0 i c 0 J n W U d C Z 1 l H Q m d Z R E F 3 T U R B d 0 1 E Q X d N R E F 3 T U d B d 0 1 E Q X d N R E F 3 W U R B d 0 1 E Q X d N R E J n W U d C Z 2 N I Q m d Z R 0 J n W U d B d 1 l H Q m d Z P S I g L z 4 8 R W 5 0 c n k g V H l w Z T 0 i R m l s b E N v b H V t b k 5 h b W V z I i B W Y W x 1 Z T 0 i c 1 s m c X V v d D t L c m l u Z 2 R h Z y Z x d W 9 0 O y w m c X V v d D t W Z X I u b n I u J n F 1 b 3 Q 7 L C Z x d W 9 0 O 0 5 h Y W 0 g d m V y Z W 5 p Z 2 l u Z y Z x d W 9 0 O y w m c X V v d D t E Z W x l Z 2 F 0 a W U m c X V v d D s s J n F 1 b 3 Q 7 T X V 6 a W V r a 2 9 y c H M g d G l q Z G V u c y B t Y X J z I G V u I G R l Z m l s X H U w M E U 5 J n F 1 b 3 Q 7 L C Z x d W 9 0 O 0 R l Z W x u Y W 1 l I G p l d W d k a 2 9 u a W 5 n c 2 N o a W V 0 Z W 4 m c X V v d D s s J n F 1 b 3 Q 7 T W F q L i B T Z W 5 p b 3 J l b i B q d X J l c m V u I G J p a i B t Y X J z J n F 1 b 3 Q 7 L C Z x d W 9 0 O 0 1 h a i 4 g S m V 1 Z 2 Q g a n V y Z X J l b i B i a W o g b W F y c y Z x d W 9 0 O y w m c X V v d D t L b 3 J w c y B z Z W 5 p b 3 J l b i Z x d W 9 0 O y w m c X V v d D t K d W 5 p b 3 J l b i B r b 3 J w c y A x J n F 1 b 3 Q 7 L C Z x d W 9 0 O 0 p 1 b m l v c m V u I G t v c n B z I D I m c X V v d D s s J n F 1 b 3 Q 7 Q X N w a X J h b n R l b i B r b 3 J w c y A x J n F 1 b 3 Q 7 L C Z x d W 9 0 O 0 F z c G l y Y W 5 0 Z W 4 g a 2 9 y c H M g M i Z x d W 9 0 O y w m c X V v d D t B Y 3 J v Y m F 0 a X N j a C B z Z W 5 p b 3 J l b i Z x d W 9 0 O y w m c X V v d D t B Y 3 J v Y m F 0 a X N j a C B q d W 5 p b 3 J l b i Z x d W 9 0 O y w m c X V v d D t B Y 3 J v Y m F 0 a X N j a C B h c 3 B p c m F u d G V u J n F 1 b 3 Q 7 L C Z x d W 9 0 O 0 9 w Z 2 V 2 Z W 4 g d m V u Z G V s a W V y c y B p b m Q u J n F 1 b 3 Q 7 L C Z x d W 9 0 O 0 F j c m 9 i L i B z Z W 5 p b 3 J l b i B p b m R p d i 4 m c X V v d D s s J n F 1 b 3 Q 7 Q W N y b 2 I u I G p 1 b m l v c m V u I G l u Z G l 2 L i Z x d W 9 0 O y w m c X V v d D t B Y 3 J v Y i 4 g Y X N w a X J h b n R l b i B p b m R p d i 4 m c X V v d D s s J n F 1 b 3 Q 7 R G V l b G 5 h b W U g a G 9 v Z m R r b 3 J w c y Z x d W 9 0 O y w m c X V v d D t H c m 9 l c G V u L C B 0 Z W F t c y w g Z W 5 z Z W 1 i b G V z I G V u I G R 1 b 1 x 1 M D A y N 3 M m c X V v d D s s J n F 1 b 3 Q 7 Q W F u d G F s I G 9 w Z 2 V n Z X Z l b i B t Y W p v c m V 0 d G V z J n F 1 b 3 Q 7 L C Z x d W 9 0 O 0 9 w Z 2 V 2 Z W 4 g Y m l l b G V t Y W 5 u Z W 4 m c X V v d D s s J n F 1 b 3 Q 7 U 2 V u a W 9 y Z W 4 m c X V v d D s s J n F 1 b 3 Q 7 S m 9 u Z y B W b 2 x 3 Y X N z Z W 5 l J n F 1 b 3 Q 7 L C Z x d W 9 0 O 0 p 1 b m l v c m V u J n F 1 b 3 Q 7 L C Z x d W 9 0 O 0 F z c G l y Y W 5 0 Z W 4 m c X V v d D s s J n F 1 b 3 Q 7 R G V l b G 5 h b W U g b W F y a 2 V 0 Z W 5 0 c 3 R l c n M m c X V v d D s s J n F 1 b 3 Q 7 Q W F u d G F s I G x 1 Y 2 h 0 Z 2 V 3 Z W V y c 2 N o d X R 0 Z X J z J n F 1 b 3 Q 7 L C Z x d W 9 0 O 0 F h b n R h b C B s d W N o d H B p c 3 R v b 2 x z Y 2 h 1 d H R l c n M m c X V v d D s s J n F 1 b 3 Q 7 Q W F u d G F s I G h h b m R i b 2 9 n c 2 N o d X R 0 Z X J z J n F 1 b 3 Q 7 L C Z x d W 9 0 O 0 F h b n R h b C B r c n V p c 2 J v b 2 d z Y 2 h 1 d H R l c n M m c X V v d D s s J n F 1 b 3 Q 7 K E F h b n R h b C B q Z X V n Z G t v c n B z Z W 4 m c X V v d D s s J n F 1 b 3 Q 7 V G 9 0 Y W F s I G F h b n R h b C B k Z W V s b m V t Z X J z J n F 1 b 3 Q 7 L C Z x d W 9 0 O 1 d h Y X J 2 Y W 4 g Y W F u d G F s I G p l d W d k I C h 0 L 2 0 g M T U g a m F h c i k m c X V v d D s s J n F 1 b 3 Q 7 S 2 F u b 2 4 g Z X R j L i Z x d W 9 0 O y w m c X V v d D t Q Y W F y Z G V u I G V u L 2 9 m I G t v Z X R z Z W 4 m c X V v d D s s J n F 1 b 3 Q 7 V G 9 l b G l j a H R p b m c v b 3 B t Z X J r a W 5 n Z W 4 m c X V v d D s s J n F 1 b 3 Q 7 S W 5 6 Z W 5 k a W 5 n L U l E J n F 1 b 3 Q 7 L C Z x d W 9 0 O 0 l u e m V u Z G R h d H V t J n F 1 b 3 Q 7 L C Z x d W 9 0 O 0 R h d G U g V X B k Y X R l Z C Z x d W 9 0 O y w m c X V v d D t O Y W F t I H Z h b i B o Z X Q g a G 9 v Z m R r b 3 J w c y Z x d W 9 0 O y w m c X V v d D t a Y W w g b 3 A g d H J l Z G V u I G F s c y A o a G 9 v Z m R r b 3 J w c y k m c X V v d D s s J n F 1 b 3 Q 7 V m 9 y b S B 2 Y W 4 g d H d l Z S B t d X p p Z W t 3 Z X J r Z W 4 g K G h v b 2 Z k a 2 9 y c H M p J n F 1 b 3 Q 7 L C Z x d W 9 0 O 1 p h b C B 1 a X R r b 2 1 l b i B p b i B k Z T o g K G h v b 2 Z k a 2 9 y c H M p J n F 1 b 3 Q 7 L C Z x d W 9 0 O 0 1 1 e m l l a 3 d l c m s x I C h o b 2 9 m Z G t v c n B z K S Z x d W 9 0 O y w m c X V v d D t N d X p p Z W t 3 Z X J r M i A o a G 9 v Z m R r b 3 J w c y k m c X V v d D s s J n F 1 b 3 Q 7 S 2 9 y c H M g Y m V z d G F h d C B 1 a X Q g L i 4 u I G R l Z W x u Z W 1 l c n M g K G h v b 2 Z k a 2 9 y c H M p J n F 1 b 3 Q 7 L C Z x d W 9 0 O 1 d v c m R 0 I G V y I G d l Y n J 1 a W s g Z 2 V t Y W F r d C B 2 Y W 4 g b W V j a G F u a X N j a G U g b X V 6 a W V r P y Z x d W 9 0 O y w m c X V v d D t P b m R l c m R l b G V u J n F 1 b 3 Q 7 L C Z x d W 9 0 O 1 N l Y 3 R p Z X M m c X V v d D s s J n F 1 b 3 Q 7 T G V l Z n R p a m R z Y 2 F 0 Z W d v c m l l J n F 1 b 3 Q 7 X S I g L z 4 8 R W 5 0 c n k g V H l w Z T 0 i Q W R k Z W R U b 0 R h d G F N b 2 R l b C I g V m F s d W U 9 I m w w I i A v P j x F b n R y e S B U e X B l P S J G a W x s U 3 R h d H V z I i B W Y W x 1 Z T 0 i c 0 N v b X B s Z X R l I i A v P j x F b n R y e S B U e X B l P S J S Z W x h d G l v b n N o a X B J b m Z v Q 2 9 u d G F p b m V y I i B W Y W x 1 Z T 0 i c 3 s m c X V v d D t j b 2 x 1 b W 5 D b 3 V u d C Z x d W 9 0 O z o 1 M y w m c X V v d D t r Z X l D b 2 x 1 b W 5 O Y W 1 l c y Z x d W 9 0 O z p b X S w m c X V v d D t x d W V y e V J l b G F 0 a W 9 u c 2 h p c H M m c X V v d D s 6 W 1 0 s J n F 1 b 3 Q 7 Y 2 9 s d W 1 u S W R l b n R p d G l l c y Z x d W 9 0 O z p b J n F 1 b 3 Q 7 U 2 V j d G l v b j E v S 3 J p b m d k Y W d l b i 9 B d X R v U m V t b 3 Z l Z E N v b H V t b n M x L n t L c m l u Z 2 R h Z y w w f S Z x d W 9 0 O y w m c X V v d D t T Z W N 0 a W 9 u M S 9 L c m l u Z 2 R h Z 2 V u L 0 F 1 d G 9 S Z W 1 v d m V k Q 2 9 s d W 1 u c z E u e 1 Z l c i 5 u c i 4 s M X 0 m c X V v d D s s J n F 1 b 3 Q 7 U 2 V j d G l v b j E v S 3 J p b m d k Y W d l b i 9 B d X R v U m V t b 3 Z l Z E N v b H V t b n M x L n t O Y W F t I H Z l c m V u a W d p b m c s M n 0 m c X V v d D s s J n F 1 b 3 Q 7 U 2 V j d G l v b j E v S 3 J p b m d k Y W d l b i 9 B d X R v U m V t b 3 Z l Z E N v b H V t b n M x L n t E Z W x l Z 2 F 0 a W U s M 3 0 m c X V v d D s s J n F 1 b 3 Q 7 U 2 V j d G l v b j E v S 3 J p b m d k Y W d l b i 9 B d X R v U m V t b 3 Z l Z E N v b H V t b n M x L n t N d X p p Z W t r b 3 J w c y B 0 a W p k Z W 5 z I G 1 h c n M g Z W 4 g Z G V m a W x c d T A w R T k s N H 0 m c X V v d D s s J n F 1 b 3 Q 7 U 2 V j d G l v b j E v S 3 J p b m d k Y W d l b i 9 B d X R v U m V t b 3 Z l Z E N v b H V t b n M x L n t E Z W V s b m F t Z S B q Z X V n Z G t v b m l u Z 3 N j a G l l d G V u L D V 9 J n F 1 b 3 Q 7 L C Z x d W 9 0 O 1 N l Y 3 R p b 2 4 x L 0 t y a W 5 n Z G F n Z W 4 v Q X V 0 b 1 J l b W 9 2 Z W R D b 2 x 1 b W 5 z M S 5 7 T W F q L i B T Z W 5 p b 3 J l b i B q d X J l c m V u I G J p a i B t Y X J z L D Z 9 J n F 1 b 3 Q 7 L C Z x d W 9 0 O 1 N l Y 3 R p b 2 4 x L 0 t y a W 5 n Z G F n Z W 4 v Q X V 0 b 1 J l b W 9 2 Z W R D b 2 x 1 b W 5 z M S 5 7 T W F q L i B K Z X V n Z C B q d X J l c m V u I G J p a i B t Y X J z L D d 9 J n F 1 b 3 Q 7 L C Z x d W 9 0 O 1 N l Y 3 R p b 2 4 x L 0 t y a W 5 n Z G F n Z W 4 v Q X V 0 b 1 J l b W 9 2 Z W R D b 2 x 1 b W 5 z M S 5 7 S 2 9 y c H M g c 2 V u a W 9 y Z W 4 s O H 0 m c X V v d D s s J n F 1 b 3 Q 7 U 2 V j d G l v b j E v S 3 J p b m d k Y W d l b i 9 B d X R v U m V t b 3 Z l Z E N v b H V t b n M x L n t K d W 5 p b 3 J l b i B r b 3 J w c y A x L D l 9 J n F 1 b 3 Q 7 L C Z x d W 9 0 O 1 N l Y 3 R p b 2 4 x L 0 t y a W 5 n Z G F n Z W 4 v Q X V 0 b 1 J l b W 9 2 Z W R D b 2 x 1 b W 5 z M S 5 7 S n V u a W 9 y Z W 4 g a 2 9 y c H M g M i w x M H 0 m c X V v d D s s J n F 1 b 3 Q 7 U 2 V j d G l v b j E v S 3 J p b m d k Y W d l b i 9 B d X R v U m V t b 3 Z l Z E N v b H V t b n M x L n t B c 3 B p c m F u d G V u I G t v c n B z I D E s M T F 9 J n F 1 b 3 Q 7 L C Z x d W 9 0 O 1 N l Y 3 R p b 2 4 x L 0 t y a W 5 n Z G F n Z W 4 v Q X V 0 b 1 J l b W 9 2 Z W R D b 2 x 1 b W 5 z M S 5 7 Q X N w a X J h b n R l b i B r b 3 J w c y A y L D E y f S Z x d W 9 0 O y w m c X V v d D t T Z W N 0 a W 9 u M S 9 L c m l u Z 2 R h Z 2 V u L 0 F 1 d G 9 S Z W 1 v d m V k Q 2 9 s d W 1 u c z E u e 0 F j c m 9 i Y X R p c 2 N o I H N l b m l v c m V u L D E z f S Z x d W 9 0 O y w m c X V v d D t T Z W N 0 a W 9 u M S 9 L c m l u Z 2 R h Z 2 V u L 0 F 1 d G 9 S Z W 1 v d m V k Q 2 9 s d W 1 u c z E u e 0 F j c m 9 i Y X R p c 2 N o I G p 1 b m l v c m V u L D E 0 f S Z x d W 9 0 O y w m c X V v d D t T Z W N 0 a W 9 u M S 9 L c m l u Z 2 R h Z 2 V u L 0 F 1 d G 9 S Z W 1 v d m V k Q 2 9 s d W 1 u c z E u e 0 F j c m 9 i Y X R p c 2 N o I G F z c G l y Y W 5 0 Z W 4 s M T V 9 J n F 1 b 3 Q 7 L C Z x d W 9 0 O 1 N l Y 3 R p b 2 4 x L 0 t y a W 5 n Z G F n Z W 4 v Q X V 0 b 1 J l b W 9 2 Z W R D b 2 x 1 b W 5 z M S 5 7 T 3 B n Z X Z l b i B 2 Z W 5 k Z W x p Z X J z I G l u Z C 4 s M T Z 9 J n F 1 b 3 Q 7 L C Z x d W 9 0 O 1 N l Y 3 R p b 2 4 x L 0 t y a W 5 n Z G F n Z W 4 v Q X V 0 b 1 J l b W 9 2 Z W R D b 2 x 1 b W 5 z M S 5 7 Q W N y b 2 I u I H N l b m l v c m V u I G l u Z G l 2 L i w x N 3 0 m c X V v d D s s J n F 1 b 3 Q 7 U 2 V j d G l v b j E v S 3 J p b m d k Y W d l b i 9 B d X R v U m V t b 3 Z l Z E N v b H V t b n M x L n t B Y 3 J v Y i 4 g a n V u a W 9 y Z W 4 g a W 5 k a X Y u L D E 4 f S Z x d W 9 0 O y w m c X V v d D t T Z W N 0 a W 9 u M S 9 L c m l u Z 2 R h Z 2 V u L 0 F 1 d G 9 S Z W 1 v d m V k Q 2 9 s d W 1 u c z E u e 0 F j c m 9 i L i B h c 3 B p c m F u d G V u I G l u Z G l 2 L i w x O X 0 m c X V v d D s s J n F 1 b 3 Q 7 U 2 V j d G l v b j E v S 3 J p b m d k Y W d l b i 9 B d X R v U m V t b 3 Z l Z E N v b H V t b n M x L n t E Z W V s b m F t Z S B o b 2 9 m Z G t v c n B z L D I w f S Z x d W 9 0 O y w m c X V v d D t T Z W N 0 a W 9 u M S 9 L c m l u Z 2 R h Z 2 V u L 0 F 1 d G 9 S Z W 1 v d m V k Q 2 9 s d W 1 u c z E u e 0 d y b 2 V w Z W 4 s I H R l Y W 1 z L C B l b n N l b W J s Z X M g Z W 4 g Z H V v X H U w M D I 3 c y w y M X 0 m c X V v d D s s J n F 1 b 3 Q 7 U 2 V j d G l v b j E v S 3 J p b m d k Y W d l b i 9 B d X R v U m V t b 3 Z l Z E N v b H V t b n M x L n t B Y W 5 0 Y W w g b 3 B n Z W d l d m V u I G 1 h a m 9 y Z X R 0 Z X M s M j J 9 J n F 1 b 3 Q 7 L C Z x d W 9 0 O 1 N l Y 3 R p b 2 4 x L 0 t y a W 5 n Z G F n Z W 4 v Q X V 0 b 1 J l b W 9 2 Z W R D b 2 x 1 b W 5 z M S 5 7 T 3 B n Z X Z l b i B i a W V s Z W 1 h b m 5 l b i w y M 3 0 m c X V v d D s s J n F 1 b 3 Q 7 U 2 V j d G l v b j E v S 3 J p b m d k Y W d l b i 9 B d X R v U m V t b 3 Z l Z E N v b H V t b n M x L n t T Z W 5 p b 3 J l b i w y N H 0 m c X V v d D s s J n F 1 b 3 Q 7 U 2 V j d G l v b j E v S 3 J p b m d k Y W d l b i 9 B d X R v U m V t b 3 Z l Z E N v b H V t b n M x L n t K b 2 5 n I F Z v b H d h c 3 N l b m U s M j V 9 J n F 1 b 3 Q 7 L C Z x d W 9 0 O 1 N l Y 3 R p b 2 4 x L 0 t y a W 5 n Z G F n Z W 4 v Q X V 0 b 1 J l b W 9 2 Z W R D b 2 x 1 b W 5 z M S 5 7 S n V u a W 9 y Z W 4 s M j Z 9 J n F 1 b 3 Q 7 L C Z x d W 9 0 O 1 N l Y 3 R p b 2 4 x L 0 t y a W 5 n Z G F n Z W 4 v Q X V 0 b 1 J l b W 9 2 Z W R D b 2 x 1 b W 5 z M S 5 7 Q X N w a X J h b n R l b i w y N 3 0 m c X V v d D s s J n F 1 b 3 Q 7 U 2 V j d G l v b j E v S 3 J p b m d k Y W d l b i 9 B d X R v U m V t b 3 Z l Z E N v b H V t b n M x L n t E Z W V s b m F t Z S B t Y X J r Z X R l b n R z d G V y c y w y O H 0 m c X V v d D s s J n F 1 b 3 Q 7 U 2 V j d G l v b j E v S 3 J p b m d k Y W d l b i 9 B d X R v U m V t b 3 Z l Z E N v b H V t b n M x L n t B Y W 5 0 Y W w g b H V j a H R n Z X d l Z X J z Y 2 h 1 d H R l c n M s M j l 9 J n F 1 b 3 Q 7 L C Z x d W 9 0 O 1 N l Y 3 R p b 2 4 x L 0 t y a W 5 n Z G F n Z W 4 v Q X V 0 b 1 J l b W 9 2 Z W R D b 2 x 1 b W 5 z M S 5 7 Q W F u d G F s I G x 1 Y 2 h 0 c G l z d G 9 v b H N j a H V 0 d G V y c y w z M H 0 m c X V v d D s s J n F 1 b 3 Q 7 U 2 V j d G l v b j E v S 3 J p b m d k Y W d l b i 9 B d X R v U m V t b 3 Z l Z E N v b H V t b n M x L n t B Y W 5 0 Y W w g a G F u Z G J v b 2 d z Y 2 h 1 d H R l c n M s M z F 9 J n F 1 b 3 Q 7 L C Z x d W 9 0 O 1 N l Y 3 R p b 2 4 x L 0 t y a W 5 n Z G F n Z W 4 v Q X V 0 b 1 J l b W 9 2 Z W R D b 2 x 1 b W 5 z M S 5 7 Q W F u d G F s I G t y d W l z Y m 9 v Z 3 N j a H V 0 d G V y c y w z M n 0 m c X V v d D s s J n F 1 b 3 Q 7 U 2 V j d G l v b j E v S 3 J p b m d k Y W d l b i 9 B d X R v U m V t b 3 Z l Z E N v b H V t b n M x L n s o Q W F u d G F s I G p l d W d k a 2 9 y c H N l b i w z M 3 0 m c X V v d D s s J n F 1 b 3 Q 7 U 2 V j d G l v b j E v S 3 J p b m d k Y W d l b i 9 B d X R v U m V t b 3 Z l Z E N v b H V t b n M x L n t U b 3 R h Y W w g Y W F u d G F s I G R l Z W x u Z W 1 l c n M s M z R 9 J n F 1 b 3 Q 7 L C Z x d W 9 0 O 1 N l Y 3 R p b 2 4 x L 0 t y a W 5 n Z G F n Z W 4 v Q X V 0 b 1 J l b W 9 2 Z W R D b 2 x 1 b W 5 z M S 5 7 V 2 F h c n Z h b i B h Y W 5 0 Y W w g a m V 1 Z 2 Q g K H Q v b S A x N S B q Y W F y K S w z N X 0 m c X V v d D s s J n F 1 b 3 Q 7 U 2 V j d G l v b j E v S 3 J p b m d k Y W d l b i 9 B d X R v U m V t b 3 Z l Z E N v b H V t b n M x L n t L Y W 5 v b i B l d G M u L D M 2 f S Z x d W 9 0 O y w m c X V v d D t T Z W N 0 a W 9 u M S 9 L c m l u Z 2 R h Z 2 V u L 0 F 1 d G 9 S Z W 1 v d m V k Q 2 9 s d W 1 u c z E u e 1 B h Y X J k Z W 4 g Z W 4 v b 2 Y g a 2 9 l d H N l b i w z N 3 0 m c X V v d D s s J n F 1 b 3 Q 7 U 2 V j d G l v b j E v S 3 J p b m d k Y W d l b i 9 B d X R v U m V t b 3 Z l Z E N v b H V t b n M x L n t U b 2 V s a W N o d G l u Z y 9 v c G 1 l c m t p b m d l b i w z O H 0 m c X V v d D s s J n F 1 b 3 Q 7 U 2 V j d G l v b j E v S 3 J p b m d k Y W d l b i 9 B d X R v U m V t b 3 Z l Z E N v b H V t b n M x L n t J b n p l b m R p b m c t S U Q s M z l 9 J n F 1 b 3 Q 7 L C Z x d W 9 0 O 1 N l Y 3 R p b 2 4 x L 0 t y a W 5 n Z G F n Z W 4 v Q X V 0 b 1 J l b W 9 2 Z W R D b 2 x 1 b W 5 z M S 5 7 S W 5 6 Z W 5 k Z G F 0 d W 0 s N D B 9 J n F 1 b 3 Q 7 L C Z x d W 9 0 O 1 N l Y 3 R p b 2 4 x L 0 t y a W 5 n Z G F n Z W 4 v Q X V 0 b 1 J l b W 9 2 Z W R D b 2 x 1 b W 5 z M S 5 7 R G F 0 Z S B V c G R h d G V k L D Q x f S Z x d W 9 0 O y w m c X V v d D t T Z W N 0 a W 9 u M S 9 L c m l u Z 2 R h Z 2 V u L 0 F 1 d G 9 S Z W 1 v d m V k Q 2 9 s d W 1 u c z E u e 0 5 h Y W 0 g d m F u I G h l d C B o b 2 9 m Z G t v c n B z L D Q y f S Z x d W 9 0 O y w m c X V v d D t T Z W N 0 a W 9 u M S 9 L c m l u Z 2 R h Z 2 V u L 0 F 1 d G 9 S Z W 1 v d m V k Q 2 9 s d W 1 u c z E u e 1 p h b C B v c C B 0 c m V k Z W 4 g Y W x z I C h o b 2 9 m Z G t v c n B z K S w 0 M 3 0 m c X V v d D s s J n F 1 b 3 Q 7 U 2 V j d G l v b j E v S 3 J p b m d k Y W d l b i 9 B d X R v U m V t b 3 Z l Z E N v b H V t b n M x L n t W b 3 J t I H Z h b i B 0 d 2 V l I G 1 1 e m l l a 3 d l c m t l b i A o a G 9 v Z m R r b 3 J w c y k s N D R 9 J n F 1 b 3 Q 7 L C Z x d W 9 0 O 1 N l Y 3 R p b 2 4 x L 0 t y a W 5 n Z G F n Z W 4 v Q X V 0 b 1 J l b W 9 2 Z W R D b 2 x 1 b W 5 z M S 5 7 W m F s I H V p d G t v b W V u I G l u I G R l O i A o a G 9 v Z m R r b 3 J w c y k s N D V 9 J n F 1 b 3 Q 7 L C Z x d W 9 0 O 1 N l Y 3 R p b 2 4 x L 0 t y a W 5 n Z G F n Z W 4 v Q X V 0 b 1 J l b W 9 2 Z W R D b 2 x 1 b W 5 z M S 5 7 T X V 6 a W V r d 2 V y a z E g K G h v b 2 Z k a 2 9 y c H M p L D Q 2 f S Z x d W 9 0 O y w m c X V v d D t T Z W N 0 a W 9 u M S 9 L c m l u Z 2 R h Z 2 V u L 0 F 1 d G 9 S Z W 1 v d m V k Q 2 9 s d W 1 u c z E u e 0 1 1 e m l l a 3 d l c m s y I C h o b 2 9 m Z G t v c n B z K S w 0 N 3 0 m c X V v d D s s J n F 1 b 3 Q 7 U 2 V j d G l v b j E v S 3 J p b m d k Y W d l b i 9 B d X R v U m V t b 3 Z l Z E N v b H V t b n M x L n t L b 3 J w c y B i Z X N 0 Y W F 0 I H V p d C A u L i 4 g Z G V l b G 5 l b W V y c y A o a G 9 v Z m R r b 3 J w c y k s N D h 9 J n F 1 b 3 Q 7 L C Z x d W 9 0 O 1 N l Y 3 R p b 2 4 x L 0 t y a W 5 n Z G F n Z W 4 v Q X V 0 b 1 J l b W 9 2 Z W R D b 2 x 1 b W 5 z M S 5 7 V 2 9 y Z H Q g Z X I g Z 2 V i c n V p a y B n Z W 1 h Y W t 0 I H Z h b i B t Z W N o Y W 5 p c 2 N o Z S B t d X p p Z W s / L D Q 5 f S Z x d W 9 0 O y w m c X V v d D t T Z W N 0 a W 9 u M S 9 L c m l u Z 2 R h Z 2 V u L 0 F 1 d G 9 S Z W 1 v d m V k Q 2 9 s d W 1 u c z E u e 0 9 u Z G V y Z G V s Z W 4 s N T B 9 J n F 1 b 3 Q 7 L C Z x d W 9 0 O 1 N l Y 3 R p b 2 4 x L 0 t y a W 5 n Z G F n Z W 4 v Q X V 0 b 1 J l b W 9 2 Z W R D b 2 x 1 b W 5 z M S 5 7 U 2 V j d G l l c y w 1 M X 0 m c X V v d D s s J n F 1 b 3 Q 7 U 2 V j d G l v b j E v S 3 J p b m d k Y W d l b i 9 B d X R v U m V t b 3 Z l Z E N v b H V t b n M x L n t M Z W V m d G l q Z H N j Y X R l Z 2 9 y a W U s N T J 9 J n F 1 b 3 Q 7 X S w m c X V v d D t D b 2 x 1 b W 5 D b 3 V u d C Z x d W 9 0 O z o 1 M y w m c X V v d D t L Z X l D b 2 x 1 b W 5 O Y W 1 l c y Z x d W 9 0 O z p b X S w m c X V v d D t D b 2 x 1 b W 5 J Z G V u d G l 0 a W V z J n F 1 b 3 Q 7 O l s m c X V v d D t T Z W N 0 a W 9 u M S 9 L c m l u Z 2 R h Z 2 V u L 0 F 1 d G 9 S Z W 1 v d m V k Q 2 9 s d W 1 u c z E u e 0 t y a W 5 n Z G F n L D B 9 J n F 1 b 3 Q 7 L C Z x d W 9 0 O 1 N l Y 3 R p b 2 4 x L 0 t y a W 5 n Z G F n Z W 4 v Q X V 0 b 1 J l b W 9 2 Z W R D b 2 x 1 b W 5 z M S 5 7 V m V y L m 5 y L i w x f S Z x d W 9 0 O y w m c X V v d D t T Z W N 0 a W 9 u M S 9 L c m l u Z 2 R h Z 2 V u L 0 F 1 d G 9 S Z W 1 v d m V k Q 2 9 s d W 1 u c z E u e 0 5 h Y W 0 g d m V y Z W 5 p Z 2 l u Z y w y f S Z x d W 9 0 O y w m c X V v d D t T Z W N 0 a W 9 u M S 9 L c m l u Z 2 R h Z 2 V u L 0 F 1 d G 9 S Z W 1 v d m V k Q 2 9 s d W 1 u c z E u e 0 R l b G V n Y X R p Z S w z f S Z x d W 9 0 O y w m c X V v d D t T Z W N 0 a W 9 u M S 9 L c m l u Z 2 R h Z 2 V u L 0 F 1 d G 9 S Z W 1 v d m V k Q 2 9 s d W 1 u c z E u e 0 1 1 e m l l a 2 t v c n B z I H R p a m R l b n M g b W F y c y B l b i B k Z W Z p b F x 1 M D B F O S w 0 f S Z x d W 9 0 O y w m c X V v d D t T Z W N 0 a W 9 u M S 9 L c m l u Z 2 R h Z 2 V u L 0 F 1 d G 9 S Z W 1 v d m V k Q 2 9 s d W 1 u c z E u e 0 R l Z W x u Y W 1 l I G p l d W d k a 2 9 u a W 5 n c 2 N o a W V 0 Z W 4 s N X 0 m c X V v d D s s J n F 1 b 3 Q 7 U 2 V j d G l v b j E v S 3 J p b m d k Y W d l b i 9 B d X R v U m V t b 3 Z l Z E N v b H V t b n M x L n t N Y W o u I F N l b m l v c m V u I G p 1 c m V y Z W 4 g Y m l q I G 1 h c n M s N n 0 m c X V v d D s s J n F 1 b 3 Q 7 U 2 V j d G l v b j E v S 3 J p b m d k Y W d l b i 9 B d X R v U m V t b 3 Z l Z E N v b H V t b n M x L n t N Y W o u I E p l d W d k I G p 1 c m V y Z W 4 g Y m l q I G 1 h c n M s N 3 0 m c X V v d D s s J n F 1 b 3 Q 7 U 2 V j d G l v b j E v S 3 J p b m d k Y W d l b i 9 B d X R v U m V t b 3 Z l Z E N v b H V t b n M x L n t L b 3 J w c y B z Z W 5 p b 3 J l b i w 4 f S Z x d W 9 0 O y w m c X V v d D t T Z W N 0 a W 9 u M S 9 L c m l u Z 2 R h Z 2 V u L 0 F 1 d G 9 S Z W 1 v d m V k Q 2 9 s d W 1 u c z E u e 0 p 1 b m l v c m V u I G t v c n B z I D E s O X 0 m c X V v d D s s J n F 1 b 3 Q 7 U 2 V j d G l v b j E v S 3 J p b m d k Y W d l b i 9 B d X R v U m V t b 3 Z l Z E N v b H V t b n M x L n t K d W 5 p b 3 J l b i B r b 3 J w c y A y L D E w f S Z x d W 9 0 O y w m c X V v d D t T Z W N 0 a W 9 u M S 9 L c m l u Z 2 R h Z 2 V u L 0 F 1 d G 9 S Z W 1 v d m V k Q 2 9 s d W 1 u c z E u e 0 F z c G l y Y W 5 0 Z W 4 g a 2 9 y c H M g M S w x M X 0 m c X V v d D s s J n F 1 b 3 Q 7 U 2 V j d G l v b j E v S 3 J p b m d k Y W d l b i 9 B d X R v U m V t b 3 Z l Z E N v b H V t b n M x L n t B c 3 B p c m F u d G V u I G t v c n B z I D I s M T J 9 J n F 1 b 3 Q 7 L C Z x d W 9 0 O 1 N l Y 3 R p b 2 4 x L 0 t y a W 5 n Z G F n Z W 4 v Q X V 0 b 1 J l b W 9 2 Z W R D b 2 x 1 b W 5 z M S 5 7 Q W N y b 2 J h d G l z Y 2 g g c 2 V u a W 9 y Z W 4 s M T N 9 J n F 1 b 3 Q 7 L C Z x d W 9 0 O 1 N l Y 3 R p b 2 4 x L 0 t y a W 5 n Z G F n Z W 4 v Q X V 0 b 1 J l b W 9 2 Z W R D b 2 x 1 b W 5 z M S 5 7 Q W N y b 2 J h d G l z Y 2 g g a n V u a W 9 y Z W 4 s M T R 9 J n F 1 b 3 Q 7 L C Z x d W 9 0 O 1 N l Y 3 R p b 2 4 x L 0 t y a W 5 n Z G F n Z W 4 v Q X V 0 b 1 J l b W 9 2 Z W R D b 2 x 1 b W 5 z M S 5 7 Q W N y b 2 J h d G l z Y 2 g g Y X N w a X J h b n R l b i w x N X 0 m c X V v d D s s J n F 1 b 3 Q 7 U 2 V j d G l v b j E v S 3 J p b m d k Y W d l b i 9 B d X R v U m V t b 3 Z l Z E N v b H V t b n M x L n t P c G d l d m V u I H Z l b m R l b G l l c n M g a W 5 k L i w x N n 0 m c X V v d D s s J n F 1 b 3 Q 7 U 2 V j d G l v b j E v S 3 J p b m d k Y W d l b i 9 B d X R v U m V t b 3 Z l Z E N v b H V t b n M x L n t B Y 3 J v Y i 4 g c 2 V u a W 9 y Z W 4 g a W 5 k a X Y u L D E 3 f S Z x d W 9 0 O y w m c X V v d D t T Z W N 0 a W 9 u M S 9 L c m l u Z 2 R h Z 2 V u L 0 F 1 d G 9 S Z W 1 v d m V k Q 2 9 s d W 1 u c z E u e 0 F j c m 9 i L i B q d W 5 p b 3 J l b i B p b m R p d i 4 s M T h 9 J n F 1 b 3 Q 7 L C Z x d W 9 0 O 1 N l Y 3 R p b 2 4 x L 0 t y a W 5 n Z G F n Z W 4 v Q X V 0 b 1 J l b W 9 2 Z W R D b 2 x 1 b W 5 z M S 5 7 Q W N y b 2 I u I G F z c G l y Y W 5 0 Z W 4 g a W 5 k a X Y u L D E 5 f S Z x d W 9 0 O y w m c X V v d D t T Z W N 0 a W 9 u M S 9 L c m l u Z 2 R h Z 2 V u L 0 F 1 d G 9 S Z W 1 v d m V k Q 2 9 s d W 1 u c z E u e 0 R l Z W x u Y W 1 l I G h v b 2 Z k a 2 9 y c H M s M j B 9 J n F 1 b 3 Q 7 L C Z x d W 9 0 O 1 N l Y 3 R p b 2 4 x L 0 t y a W 5 n Z G F n Z W 4 v Q X V 0 b 1 J l b W 9 2 Z W R D b 2 x 1 b W 5 z M S 5 7 R 3 J v Z X B l b i w g d G V h b X M s I G V u c 2 V t Y m x l c y B l b i B k d W 9 c d T A w M j d z L D I x f S Z x d W 9 0 O y w m c X V v d D t T Z W N 0 a W 9 u M S 9 L c m l u Z 2 R h Z 2 V u L 0 F 1 d G 9 S Z W 1 v d m V k Q 2 9 s d W 1 u c z E u e 0 F h b n R h b C B v c G d l Z 2 V 2 Z W 4 g b W F q b 3 J l d H R l c y w y M n 0 m c X V v d D s s J n F 1 b 3 Q 7 U 2 V j d G l v b j E v S 3 J p b m d k Y W d l b i 9 B d X R v U m V t b 3 Z l Z E N v b H V t b n M x L n t P c G d l d m V u I G J p Z W x l b W F u b m V u L D I z f S Z x d W 9 0 O y w m c X V v d D t T Z W N 0 a W 9 u M S 9 L c m l u Z 2 R h Z 2 V u L 0 F 1 d G 9 S Z W 1 v d m V k Q 2 9 s d W 1 u c z E u e 1 N l b m l v c m V u L D I 0 f S Z x d W 9 0 O y w m c X V v d D t T Z W N 0 a W 9 u M S 9 L c m l u Z 2 R h Z 2 V u L 0 F 1 d G 9 S Z W 1 v d m V k Q 2 9 s d W 1 u c z E u e 0 p v b m c g V m 9 s d 2 F z c 2 V u Z S w y N X 0 m c X V v d D s s J n F 1 b 3 Q 7 U 2 V j d G l v b j E v S 3 J p b m d k Y W d l b i 9 B d X R v U m V t b 3 Z l Z E N v b H V t b n M x L n t K d W 5 p b 3 J l b i w y N n 0 m c X V v d D s s J n F 1 b 3 Q 7 U 2 V j d G l v b j E v S 3 J p b m d k Y W d l b i 9 B d X R v U m V t b 3 Z l Z E N v b H V t b n M x L n t B c 3 B p c m F u d G V u L D I 3 f S Z x d W 9 0 O y w m c X V v d D t T Z W N 0 a W 9 u M S 9 L c m l u Z 2 R h Z 2 V u L 0 F 1 d G 9 S Z W 1 v d m V k Q 2 9 s d W 1 u c z E u e 0 R l Z W x u Y W 1 l I G 1 h c m t l d G V u d H N 0 Z X J z L D I 4 f S Z x d W 9 0 O y w m c X V v d D t T Z W N 0 a W 9 u M S 9 L c m l u Z 2 R h Z 2 V u L 0 F 1 d G 9 S Z W 1 v d m V k Q 2 9 s d W 1 u c z E u e 0 F h b n R h b C B s d W N o d G d l d 2 V l c n N j a H V 0 d G V y c y w y O X 0 m c X V v d D s s J n F 1 b 3 Q 7 U 2 V j d G l v b j E v S 3 J p b m d k Y W d l b i 9 B d X R v U m V t b 3 Z l Z E N v b H V t b n M x L n t B Y W 5 0 Y W w g b H V j a H R w a X N 0 b 2 9 s c 2 N o d X R 0 Z X J z L D M w f S Z x d W 9 0 O y w m c X V v d D t T Z W N 0 a W 9 u M S 9 L c m l u Z 2 R h Z 2 V u L 0 F 1 d G 9 S Z W 1 v d m V k Q 2 9 s d W 1 u c z E u e 0 F h b n R h b C B o Y W 5 k Y m 9 v Z 3 N j a H V 0 d G V y c y w z M X 0 m c X V v d D s s J n F 1 b 3 Q 7 U 2 V j d G l v b j E v S 3 J p b m d k Y W d l b i 9 B d X R v U m V t b 3 Z l Z E N v b H V t b n M x L n t B Y W 5 0 Y W w g a 3 J 1 a X N i b 2 9 n c 2 N o d X R 0 Z X J z L D M y f S Z x d W 9 0 O y w m c X V v d D t T Z W N 0 a W 9 u M S 9 L c m l u Z 2 R h Z 2 V u L 0 F 1 d G 9 S Z W 1 v d m V k Q 2 9 s d W 1 u c z E u e y h B Y W 5 0 Y W w g a m V 1 Z 2 R r b 3 J w c 2 V u L D M z f S Z x d W 9 0 O y w m c X V v d D t T Z W N 0 a W 9 u M S 9 L c m l u Z 2 R h Z 2 V u L 0 F 1 d G 9 S Z W 1 v d m V k Q 2 9 s d W 1 u c z E u e 1 R v d G F h b C B h Y W 5 0 Y W w g Z G V l b G 5 l b W V y c y w z N H 0 m c X V v d D s s J n F 1 b 3 Q 7 U 2 V j d G l v b j E v S 3 J p b m d k Y W d l b i 9 B d X R v U m V t b 3 Z l Z E N v b H V t b n M x L n t X Y W F y d m F u I G F h b n R h b C B q Z X V n Z C A o d C 9 t I D E 1 I G p h Y X I p L D M 1 f S Z x d W 9 0 O y w m c X V v d D t T Z W N 0 a W 9 u M S 9 L c m l u Z 2 R h Z 2 V u L 0 F 1 d G 9 S Z W 1 v d m V k Q 2 9 s d W 1 u c z E u e 0 t h b m 9 u I G V 0 Y y 4 s M z Z 9 J n F 1 b 3 Q 7 L C Z x d W 9 0 O 1 N l Y 3 R p b 2 4 x L 0 t y a W 5 n Z G F n Z W 4 v Q X V 0 b 1 J l b W 9 2 Z W R D b 2 x 1 b W 5 z M S 5 7 U G F h c m R l b i B l b i 9 v Z i B r b 2 V 0 c 2 V u L D M 3 f S Z x d W 9 0 O y w m c X V v d D t T Z W N 0 a W 9 u M S 9 L c m l u Z 2 R h Z 2 V u L 0 F 1 d G 9 S Z W 1 v d m V k Q 2 9 s d W 1 u c z E u e 1 R v Z W x p Y 2 h 0 a W 5 n L 2 9 w b W V y a 2 l u Z 2 V u L D M 4 f S Z x d W 9 0 O y w m c X V v d D t T Z W N 0 a W 9 u M S 9 L c m l u Z 2 R h Z 2 V u L 0 F 1 d G 9 S Z W 1 v d m V k Q 2 9 s d W 1 u c z E u e 0 l u e m V u Z G l u Z y 1 J R C w z O X 0 m c X V v d D s s J n F 1 b 3 Q 7 U 2 V j d G l v b j E v S 3 J p b m d k Y W d l b i 9 B d X R v U m V t b 3 Z l Z E N v b H V t b n M x L n t J b n p l b m R k Y X R 1 b S w 0 M H 0 m c X V v d D s s J n F 1 b 3 Q 7 U 2 V j d G l v b j E v S 3 J p b m d k Y W d l b i 9 B d X R v U m V t b 3 Z l Z E N v b H V t b n M x L n t E Y X R l I F V w Z G F 0 Z W Q s N D F 9 J n F 1 b 3 Q 7 L C Z x d W 9 0 O 1 N l Y 3 R p b 2 4 x L 0 t y a W 5 n Z G F n Z W 4 v Q X V 0 b 1 J l b W 9 2 Z W R D b 2 x 1 b W 5 z M S 5 7 T m F h b S B 2 Y W 4 g a G V 0 I G h v b 2 Z k a 2 9 y c H M s N D J 9 J n F 1 b 3 Q 7 L C Z x d W 9 0 O 1 N l Y 3 R p b 2 4 x L 0 t y a W 5 n Z G F n Z W 4 v Q X V 0 b 1 J l b W 9 2 Z W R D b 2 x 1 b W 5 z M S 5 7 W m F s I G 9 w I H R y Z W R l b i B h b H M g K G h v b 2 Z k a 2 9 y c H M p L D Q z f S Z x d W 9 0 O y w m c X V v d D t T Z W N 0 a W 9 u M S 9 L c m l u Z 2 R h Z 2 V u L 0 F 1 d G 9 S Z W 1 v d m V k Q 2 9 s d W 1 u c z E u e 1 Z v c m 0 g d m F u I H R 3 Z W U g b X V 6 a W V r d 2 V y a 2 V u I C h o b 2 9 m Z G t v c n B z K S w 0 N H 0 m c X V v d D s s J n F 1 b 3 Q 7 U 2 V j d G l v b j E v S 3 J p b m d k Y W d l b i 9 B d X R v U m V t b 3 Z l Z E N v b H V t b n M x L n t a Y W w g d W l 0 a 2 9 t Z W 4 g a W 4 g Z G U 6 I C h o b 2 9 m Z G t v c n B z K S w 0 N X 0 m c X V v d D s s J n F 1 b 3 Q 7 U 2 V j d G l v b j E v S 3 J p b m d k Y W d l b i 9 B d X R v U m V t b 3 Z l Z E N v b H V t b n M x L n t N d X p p Z W t 3 Z X J r M S A o a G 9 v Z m R r b 3 J w c y k s N D Z 9 J n F 1 b 3 Q 7 L C Z x d W 9 0 O 1 N l Y 3 R p b 2 4 x L 0 t y a W 5 n Z G F n Z W 4 v Q X V 0 b 1 J l b W 9 2 Z W R D b 2 x 1 b W 5 z M S 5 7 T X V 6 a W V r d 2 V y a z I g K G h v b 2 Z k a 2 9 y c H M p L D Q 3 f S Z x d W 9 0 O y w m c X V v d D t T Z W N 0 a W 9 u M S 9 L c m l u Z 2 R h Z 2 V u L 0 F 1 d G 9 S Z W 1 v d m V k Q 2 9 s d W 1 u c z E u e 0 t v c n B z I G J l c 3 R h Y X Q g d W l 0 I C 4 u L i B k Z W V s b m V t Z X J z I C h o b 2 9 m Z G t v c n B z K S w 0 O H 0 m c X V v d D s s J n F 1 b 3 Q 7 U 2 V j d G l v b j E v S 3 J p b m d k Y W d l b i 9 B d X R v U m V t b 3 Z l Z E N v b H V t b n M x L n t X b 3 J k d C B l c i B n Z W J y d W l r I G d l b W F h a 3 Q g d m F u I G 1 l Y 2 h h b m l z Y 2 h l I G 1 1 e m l l a z 8 s N D l 9 J n F 1 b 3 Q 7 L C Z x d W 9 0 O 1 N l Y 3 R p b 2 4 x L 0 t y a W 5 n Z G F n Z W 4 v Q X V 0 b 1 J l b W 9 2 Z W R D b 2 x 1 b W 5 z M S 5 7 T 2 5 k Z X J k Z W x l b i w 1 M H 0 m c X V v d D s s J n F 1 b 3 Q 7 U 2 V j d G l v b j E v S 3 J p b m d k Y W d l b i 9 B d X R v U m V t b 3 Z l Z E N v b H V t b n M x L n t T Z W N 0 a W V z L D U x f S Z x d W 9 0 O y w m c X V v d D t T Z W N 0 a W 9 u M S 9 L c m l u Z 2 R h Z 2 V u L 0 F 1 d G 9 S Z W 1 v d m V k Q 2 9 s d W 1 u c z E u e 0 x l Z W Z 0 a W p k c 2 N h d G V n b 3 J p Z S w 1 M n 0 m c X V v d D t d L C Z x d W 9 0 O 1 J l b G F 0 a W 9 u c 2 h p c E l u Z m 8 m c X V v d D s 6 W 1 1 9 I i A v P j w v U 3 R h Y m x l R W 5 0 c m l l c z 4 8 L 0 l 0 Z W 0 + P E l 0 Z W 0 + P E l 0 Z W 1 M b 2 N h d G l v b j 4 8 S X R l b V R 5 c G U + R m 9 y b X V s Y T w v S X R l b V R 5 c G U + P E l 0 Z W 1 Q Y X R o P l N l Y 3 R p b 2 4 x L 0 t y a W 5 n Z G F n Z W 4 v Q n J v b j w v S X R l b V B h d G g + P C 9 J d G V t T G 9 j Y X R p b 2 4 + P F N 0 Y W J s Z U V u d H J p Z X M g L z 4 8 L 0 l 0 Z W 0 + P E l 0 Z W 0 + P E l 0 Z W 1 M b 2 N h d G l v b j 4 8 S X R l b V R 5 c G U + R m 9 y b X V s Y T w v S X R l b V R 5 c G U + P E l 0 Z W 1 Q Y X R o P l N l Y 3 R p b 2 4 x L 0 t y a W 5 n Z G F n Z W 4 v S G V 0 J T I w a 2 9 s b 2 1 0 e X B l J T I w a X M l M j B n Z X d p a n p p Z 2 Q 8 L 0 l 0 Z W 1 Q Y X R o P j w v S X R l b U x v Y 2 F 0 a W 9 u P j x T d G F i b G V F b n R y a W V z I C 8 + P C 9 J d G V t P j x J d G V t P j x J d G V t T G 9 j Y X R p b 2 4 + P E l 0 Z W 1 U e X B l P k Z v c m 1 1 b G E 8 L 0 l 0 Z W 1 U e X B l P j x J d G V t U G F 0 a D 5 T Z W N 0 a W 9 u M S 9 L R E 0 v V 2 F h c m R l J T I w a X M l M j B 2 Z X J 2 Y W 5 n Z W 4 l M j A 1 P C 9 J d G V t U G F 0 a D 4 8 L 0 l 0 Z W 1 M b 2 N h d G l v b j 4 8 U 3 R h Y m x l R W 5 0 c m l l c y A v P j w v S X R l b T 4 8 S X R l b T 4 8 S X R l b U x v Y 2 F 0 a W 9 u P j x J d G V t V H l w Z T 5 G b 3 J t d W x h P C 9 J d G V t V H l w Z T 4 8 S X R l b V B h d G g + U 2 V j d G l v b j E v S 0 R N L 1 d h Y X J k Z S U y M G l z J T I w d m V y d m F u Z 2 V u J T I w N j w v S X R l b V B h d G g + P C 9 J d G V t T G 9 j Y X R p b 2 4 + P F N 0 Y W J s Z U V u d H J p Z X M g L z 4 8 L 0 l 0 Z W 0 + P E l 0 Z W 0 + P E l 0 Z W 1 M b 2 N h d G l v b j 4 8 S X R l b V R 5 c G U + R m 9 y b X V s Y T w v S X R l b V R 5 c G U + P E l 0 Z W 1 Q Y X R o P l N l Y 3 R p b 2 4 x L 0 t E Q S 9 X Y W F y Z G U l M j B p c y U y M H Z l c n Z h b m d l b i U y M D U 8 L 0 l 0 Z W 1 Q Y X R o P j w v S X R l b U x v Y 2 F 0 a W 9 u P j x T d G F i b G V F b n R y a W V z I C 8 + P C 9 J d G V t P j x J d G V t P j x J d G V t T G 9 j Y X R p b 2 4 + P E l 0 Z W 1 U e X B l P k Z v c m 1 1 b G E 8 L 0 l 0 Z W 1 U e X B l P j x J d G V t U G F 0 a D 5 T Z W N 0 a W 9 u M S 9 L R E E v V 2 F h c m R l J T I w a X M l M j B 2 Z X J 2 Y W 5 n Z W 4 l M j A 2 P C 9 J d G V t U G F 0 a D 4 8 L 0 l 0 Z W 1 M b 2 N h d G l v b j 4 8 U 3 R h Y m x l R W 5 0 c m l l c y A v P j w v S X R l b T 4 8 S X R l b T 4 8 S X R l b U x v Y 2 F 0 a W 9 u P j x J d G V t V H l w Z T 5 G b 3 J t d W x h P C 9 J d G V t V H l w Z T 4 8 S X R l b V B h d G g + U 2 V j d G l v b j E v S 0 R M L 1 d h Y X J k Z S U y M G l z J T I w d m V y d m F u Z 2 V u J T I w N T w v S X R l b V B h d G g + P C 9 J d G V t T G 9 j Y X R p b 2 4 + P F N 0 Y W J s Z U V u d H J p Z X M g L z 4 8 L 0 l 0 Z W 0 + P E l 0 Z W 0 + P E l 0 Z W 1 M b 2 N h d G l v b j 4 8 S X R l b V R 5 c G U + R m 9 y b X V s Y T w v S X R l b V R 5 c G U + P E l 0 Z W 1 Q Y X R o P l N l Y 3 R p b 2 4 x L 0 t E T C 9 X Y W F y Z G U l M j B p c y U y M H Z l c n Z h b m d l b i U y M D Y 8 L 0 l 0 Z W 1 Q Y X R o P j w v S X R l b U x v Y 2 F 0 a W 9 u P j x T d G F i b G V F b n R y a W V z I C 8 + P C 9 J d G V t P j x J d G V t P j x J d G V t T G 9 j Y X R p b 2 4 + P E l 0 Z W 1 U e X B l P k Z v c m 1 1 b G E 8 L 0 l 0 Z W 1 U e X B l P j x J d G V t U G F 0 a D 5 T Z W N 0 a W 9 u M S 9 L R F J 2 T k I v V 2 F h c m R l J T I w a X M l M j B 2 Z X J 2 Y W 5 n Z W 4 l M j A 1 P C 9 J d G V t U G F 0 a D 4 8 L 0 l 0 Z W 1 M b 2 N h d G l v b j 4 8 U 3 R h Y m x l R W 5 0 c m l l c y A v P j w v S X R l b T 4 8 S X R l b T 4 8 S X R l b U x v Y 2 F 0 a W 9 u P j x J d G V t V H l w Z T 5 G b 3 J t d W x h P C 9 J d G V t V H l w Z T 4 8 S X R l b V B h d G g + U 2 V j d G l v b j E v S 0 R S d k 5 C L 1 d h Y X J k Z S U y M G l z J T I w d m V y d m F u Z 2 V u J T I w N j w v S X R l b V B h d G g + P C 9 J d G V t T G 9 j Y X R p b 2 4 + P F N 0 Y W J s Z U V u d H J p Z X M g L z 4 8 L 0 l 0 Z W 0 + P E l 0 Z W 0 + P E l 0 Z W 1 M b 2 N h d G l v b j 4 8 S X R l b V R 5 c G U + R m 9 y b X V s Y T w v S X R l b V R 5 c G U + P E l 0 Z W 1 Q Y X R o P l N l Y 3 R p b 2 4 x L 0 Z T R C 9 X Y W F y Z G U l M j B p c y U y M H Z l c n Z h b m d l b i U y M D U 8 L 0 l 0 Z W 1 Q Y X R o P j w v S X R l b U x v Y 2 F 0 a W 9 u P j x T d G F i b G V F b n R y a W V z I C 8 + P C 9 J d G V t P j x J d G V t P j x J d G V t T G 9 j Y X R p b 2 4 + P E l 0 Z W 1 U e X B l P k Z v c m 1 1 b G E 8 L 0 l 0 Z W 1 U e X B l P j x J d G V t U G F 0 a D 5 T Z W N 0 a W 9 u M S 9 G U 0 Q v V 2 F h c m R l J T I w a X M l M j B 2 Z X J 2 Y W 5 n Z W 4 l M j A 2 P C 9 J d G V t U G F 0 a D 4 8 L 0 l 0 Z W 1 M b 2 N h d G l v b j 4 8 U 3 R h Y m x l R W 5 0 c m l l c y A v P j w v S X R l b T 4 8 L 0 l 0 Z W 1 z P j w v T G 9 j Y W x Q Y W N r Y W d l T W V 0 Y W R h d G F G a W x l P h Y A A A B Q S w U G A A A A A A A A A A A A A A A A A A A A A A A A Z A A A A D R J f j z 0 d o d j E z Z j j / F g A 9 / T b W S B G i C s H S 8 i v h 8 v T X H N 2 I V y / I u 4 x X 3 T J 7 5 W O 2 c 4 v l n j 3 A o u V u 0 L E z R G 1 e L 0 g w 9 G c L s l h a 9 x d 5 W x B 3 K e G Y W 9 K s D z h p x 0 d M v g u + Y H s o Y m S m Q u q u s = < / D a t a M a s h u p > 
</file>

<file path=customXml/itemProps1.xml><?xml version="1.0" encoding="utf-8"?>
<ds:datastoreItem xmlns:ds="http://schemas.openxmlformats.org/officeDocument/2006/customXml" ds:itemID="{4C6B04D2-3A34-43D6-AE19-27D8B6662CDC}">
  <ds:schemaRefs>
    <ds:schemaRef ds:uri="http://purl.org/dc/dcmitype/"/>
    <ds:schemaRef ds:uri="http://schemas.openxmlformats.org/package/2006/metadata/core-properties"/>
    <ds:schemaRef ds:uri="http://schemas.microsoft.com/office/2006/documentManagement/types"/>
    <ds:schemaRef ds:uri="http://schemas.microsoft.com/office/infopath/2007/PartnerControls"/>
    <ds:schemaRef ds:uri="http://purl.org/dc/terms/"/>
    <ds:schemaRef ds:uri="16868e8d-a882-449e-81d4-1ad0b5292899"/>
    <ds:schemaRef ds:uri="http://www.w3.org/XML/1998/namespace"/>
    <ds:schemaRef ds:uri="http://purl.org/dc/elements/1.1/"/>
    <ds:schemaRef ds:uri="65ad308b-2083-401f-bfeb-b2b7430ea54a"/>
    <ds:schemaRef ds:uri="http://schemas.microsoft.com/office/2006/metadata/properties"/>
  </ds:schemaRefs>
</ds:datastoreItem>
</file>

<file path=customXml/itemProps2.xml><?xml version="1.0" encoding="utf-8"?>
<ds:datastoreItem xmlns:ds="http://schemas.openxmlformats.org/officeDocument/2006/customXml" ds:itemID="{AA0B9D8E-F1F7-4491-B581-52780C251E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868e8d-a882-449e-81d4-1ad0b5292899"/>
    <ds:schemaRef ds:uri="65ad308b-2083-401f-bfeb-b2b7430ea5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A531949-6BE2-4996-A31A-B2AE19440964}">
  <ds:schemaRefs>
    <ds:schemaRef ds:uri="http://schemas.microsoft.com/sharepoint/v3/contenttype/forms"/>
  </ds:schemaRefs>
</ds:datastoreItem>
</file>

<file path=customXml/itemProps4.xml><?xml version="1.0" encoding="utf-8"?>
<ds:datastoreItem xmlns:ds="http://schemas.openxmlformats.org/officeDocument/2006/customXml" ds:itemID="{60A11DB6-8985-46B0-9B19-824420130A7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9</vt:i4>
      </vt:variant>
    </vt:vector>
  </HeadingPairs>
  <TitlesOfParts>
    <vt:vector size="9" baseType="lpstr">
      <vt:lpstr>Kringdagen</vt:lpstr>
      <vt:lpstr>KDM</vt:lpstr>
      <vt:lpstr>KDRvNB</vt:lpstr>
      <vt:lpstr>KDL</vt:lpstr>
      <vt:lpstr>KDA</vt:lpstr>
      <vt:lpstr>LJ</vt:lpstr>
      <vt:lpstr>FSD</vt:lpstr>
      <vt:lpstr>GKVI</vt:lpstr>
      <vt:lpstr>BIEL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Tjebbe</dc:creator>
  <cp:keywords/>
  <dc:description/>
  <cp:lastModifiedBy>Tjebbe Kersten</cp:lastModifiedBy>
  <cp:revision/>
  <dcterms:created xsi:type="dcterms:W3CDTF">2021-08-01T11:23:23Z</dcterms:created>
  <dcterms:modified xsi:type="dcterms:W3CDTF">2026-02-08T10:20:11Z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0x010100628E49110E16CA4CAD6807469259A23F</vt:lpwstr>
  </property>
</Properties>
</file>